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autoCompressPictures="0"/>
  <bookViews>
    <workbookView xWindow="840" yWindow="0" windowWidth="34100" windowHeight="20220" tabRatio="500"/>
  </bookViews>
  <sheets>
    <sheet name="Bonus web" sheetId="6"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51" i="6" l="1"/>
  <c r="U51" i="6"/>
  <c r="H43" i="6"/>
  <c r="H44" i="6"/>
  <c r="H45" i="6"/>
  <c r="H42" i="6"/>
  <c r="V44" i="6"/>
  <c r="E41" i="6"/>
  <c r="F41" i="6"/>
  <c r="E42" i="6"/>
  <c r="M76" i="6"/>
  <c r="L76" i="6"/>
  <c r="F76" i="6"/>
  <c r="H76" i="6"/>
  <c r="E76" i="6"/>
  <c r="G76" i="6"/>
  <c r="M75" i="6"/>
  <c r="L75" i="6"/>
  <c r="F75" i="6"/>
  <c r="H75" i="6"/>
  <c r="E75" i="6"/>
  <c r="G75" i="6"/>
  <c r="M74" i="6"/>
  <c r="L74" i="6"/>
  <c r="E74" i="6"/>
  <c r="G74" i="6"/>
  <c r="F74" i="6"/>
  <c r="H74" i="6"/>
  <c r="I74" i="6"/>
  <c r="M46" i="6"/>
  <c r="L46" i="6"/>
  <c r="F46" i="6"/>
  <c r="H46" i="6"/>
  <c r="E46" i="6"/>
  <c r="G46" i="6"/>
  <c r="M45" i="6"/>
  <c r="L45" i="6"/>
  <c r="E45" i="6"/>
  <c r="G45" i="6"/>
  <c r="M44" i="6"/>
  <c r="L44" i="6"/>
  <c r="E44" i="6"/>
  <c r="G44" i="6"/>
  <c r="M43" i="6"/>
  <c r="L43" i="6"/>
  <c r="E43" i="6"/>
  <c r="G43" i="6"/>
  <c r="M42" i="6"/>
  <c r="L42" i="6"/>
  <c r="G42" i="6"/>
  <c r="M41" i="6"/>
  <c r="L41" i="6"/>
  <c r="I41" i="6"/>
  <c r="H41" i="6"/>
  <c r="G41" i="6"/>
  <c r="M31" i="6"/>
  <c r="L31" i="6"/>
  <c r="F31" i="6"/>
  <c r="H31" i="6"/>
  <c r="E31" i="6"/>
  <c r="G31" i="6"/>
  <c r="M30" i="6"/>
  <c r="L30" i="6"/>
  <c r="F30" i="6"/>
  <c r="H30" i="6"/>
  <c r="E30" i="6"/>
  <c r="G30" i="6"/>
  <c r="M29" i="6"/>
  <c r="L29" i="6"/>
  <c r="E29" i="6"/>
  <c r="G29" i="6"/>
  <c r="F29" i="6"/>
  <c r="H29" i="6"/>
  <c r="I29" i="6"/>
  <c r="M28" i="6"/>
  <c r="L28" i="6"/>
  <c r="F28" i="6"/>
  <c r="H28" i="6"/>
  <c r="E28" i="6"/>
  <c r="G28" i="6"/>
  <c r="M27" i="6"/>
  <c r="L27" i="6"/>
  <c r="F27" i="6"/>
  <c r="H27" i="6"/>
  <c r="E27" i="6"/>
  <c r="G27" i="6"/>
  <c r="M26" i="6"/>
  <c r="L26" i="6"/>
  <c r="F26" i="6"/>
  <c r="H26" i="6"/>
  <c r="E26" i="6"/>
  <c r="G26" i="6"/>
  <c r="M25" i="6"/>
  <c r="L25" i="6"/>
  <c r="F25" i="6"/>
  <c r="H25" i="6"/>
  <c r="E25" i="6"/>
  <c r="G25" i="6"/>
  <c r="M24" i="6"/>
  <c r="L24" i="6"/>
  <c r="F24" i="6"/>
  <c r="H24" i="6"/>
  <c r="E24" i="6"/>
  <c r="G24" i="6"/>
  <c r="M23" i="6"/>
  <c r="L23" i="6"/>
  <c r="F23" i="6"/>
  <c r="H23" i="6"/>
  <c r="E23" i="6"/>
  <c r="G23" i="6"/>
  <c r="M22" i="6"/>
  <c r="L22" i="6"/>
  <c r="E22" i="6"/>
  <c r="G22" i="6"/>
  <c r="F22" i="6"/>
  <c r="H22" i="6"/>
  <c r="I22" i="6"/>
  <c r="M20" i="6"/>
  <c r="L20" i="6"/>
  <c r="F20" i="6"/>
  <c r="H20" i="6"/>
  <c r="E20" i="6"/>
  <c r="G20" i="6"/>
  <c r="M19" i="6"/>
  <c r="L19" i="6"/>
  <c r="F19" i="6"/>
  <c r="H19" i="6"/>
  <c r="E19" i="6"/>
  <c r="G19" i="6"/>
  <c r="M18" i="6"/>
  <c r="L18" i="6"/>
  <c r="E18" i="6"/>
  <c r="G18" i="6"/>
  <c r="F18" i="6"/>
  <c r="H18" i="6"/>
  <c r="I18" i="6"/>
  <c r="M14" i="6"/>
  <c r="L14" i="6"/>
  <c r="H14" i="6"/>
  <c r="G14" i="6"/>
  <c r="M13" i="6"/>
  <c r="L13" i="6"/>
  <c r="H13" i="6"/>
  <c r="G13" i="6"/>
  <c r="M12" i="6"/>
  <c r="L12" i="6"/>
  <c r="H12" i="6"/>
  <c r="G12" i="6"/>
  <c r="M11" i="6"/>
  <c r="L11" i="6"/>
  <c r="H11" i="6"/>
  <c r="G11" i="6"/>
  <c r="M10" i="6"/>
  <c r="L10" i="6"/>
  <c r="G10" i="6"/>
  <c r="H10" i="6"/>
  <c r="I10" i="6"/>
  <c r="M58" i="6"/>
  <c r="L58" i="6"/>
  <c r="L78" i="6"/>
  <c r="E78" i="6"/>
  <c r="G78" i="6"/>
  <c r="M78" i="6"/>
  <c r="F78" i="6"/>
  <c r="H78" i="6"/>
  <c r="L54" i="6"/>
  <c r="G54" i="6"/>
  <c r="M54" i="6"/>
  <c r="H54" i="6"/>
  <c r="L55" i="6"/>
  <c r="E55" i="6"/>
  <c r="G55" i="6"/>
  <c r="M55" i="6"/>
  <c r="F55" i="6"/>
  <c r="H55" i="6"/>
  <c r="L56" i="6"/>
  <c r="E56" i="6"/>
  <c r="G56" i="6"/>
  <c r="M56" i="6"/>
  <c r="F56" i="6"/>
  <c r="H56" i="6"/>
  <c r="L57" i="6"/>
  <c r="G57" i="6"/>
  <c r="M57" i="6"/>
  <c r="H57" i="6"/>
  <c r="E58" i="6"/>
  <c r="G58" i="6"/>
  <c r="F58" i="6"/>
  <c r="H58" i="6"/>
  <c r="L59" i="6"/>
  <c r="E59" i="6"/>
  <c r="G59" i="6"/>
  <c r="M59" i="6"/>
  <c r="F59" i="6"/>
  <c r="H59" i="6"/>
  <c r="L60" i="6"/>
  <c r="E60" i="6"/>
  <c r="G60" i="6"/>
  <c r="M60" i="6"/>
  <c r="F60" i="6"/>
  <c r="H60" i="6"/>
  <c r="L61" i="6"/>
  <c r="E61" i="6"/>
  <c r="G61" i="6"/>
  <c r="M61" i="6"/>
  <c r="F61" i="6"/>
  <c r="H61" i="6"/>
  <c r="L62" i="6"/>
  <c r="E62" i="6"/>
  <c r="G62" i="6"/>
  <c r="M62" i="6"/>
  <c r="F62" i="6"/>
  <c r="H62" i="6"/>
  <c r="L63" i="6"/>
  <c r="E63" i="6"/>
  <c r="G63" i="6"/>
  <c r="M63" i="6"/>
  <c r="F63" i="6"/>
  <c r="H63" i="6"/>
  <c r="L64" i="6"/>
  <c r="E64" i="6"/>
  <c r="G64" i="6"/>
  <c r="M64" i="6"/>
  <c r="F64" i="6"/>
  <c r="H64" i="6"/>
  <c r="L65" i="6"/>
  <c r="G65" i="6"/>
  <c r="M65" i="6"/>
  <c r="H65" i="6"/>
  <c r="L66" i="6"/>
  <c r="E66" i="6"/>
  <c r="G66" i="6"/>
  <c r="M66" i="6"/>
  <c r="F66" i="6"/>
  <c r="H66" i="6"/>
  <c r="L67" i="6"/>
  <c r="E67" i="6"/>
  <c r="G67" i="6"/>
  <c r="M67" i="6"/>
  <c r="F67" i="6"/>
  <c r="H67" i="6"/>
  <c r="L68" i="6"/>
  <c r="E68" i="6"/>
  <c r="G68" i="6"/>
  <c r="M68" i="6"/>
  <c r="F68" i="6"/>
  <c r="H68" i="6"/>
  <c r="L69" i="6"/>
  <c r="E69" i="6"/>
  <c r="G69" i="6"/>
  <c r="M69" i="6"/>
  <c r="F69" i="6"/>
  <c r="H69" i="6"/>
  <c r="L70" i="6"/>
  <c r="E70" i="6"/>
  <c r="G70" i="6"/>
  <c r="M70" i="6"/>
  <c r="F70" i="6"/>
  <c r="H70" i="6"/>
  <c r="L71" i="6"/>
  <c r="E71" i="6"/>
  <c r="G71" i="6"/>
  <c r="M71" i="6"/>
  <c r="F71" i="6"/>
  <c r="H71" i="6"/>
  <c r="L72" i="6"/>
  <c r="E72" i="6"/>
  <c r="G72" i="6"/>
  <c r="M72" i="6"/>
  <c r="F72" i="6"/>
  <c r="H72" i="6"/>
  <c r="L73" i="6"/>
  <c r="E73" i="6"/>
  <c r="G73" i="6"/>
  <c r="M73" i="6"/>
  <c r="F73" i="6"/>
  <c r="H73" i="6"/>
  <c r="L51" i="6"/>
  <c r="E51" i="6"/>
  <c r="G51" i="6"/>
  <c r="M51" i="6"/>
  <c r="L48" i="6"/>
  <c r="E48" i="6"/>
  <c r="G48" i="6"/>
  <c r="M48" i="6"/>
  <c r="F48" i="6"/>
  <c r="H48" i="6"/>
  <c r="L49" i="6"/>
  <c r="E49" i="6"/>
  <c r="G49" i="6"/>
  <c r="M49" i="6"/>
  <c r="F49" i="6"/>
  <c r="H49" i="6"/>
  <c r="L50" i="6"/>
  <c r="E50" i="6"/>
  <c r="G50" i="6"/>
  <c r="M50" i="6"/>
  <c r="F50" i="6"/>
  <c r="H50" i="6"/>
  <c r="L33" i="6"/>
  <c r="E33" i="6"/>
  <c r="G33" i="6"/>
  <c r="M33" i="6"/>
  <c r="F33" i="6"/>
  <c r="H33" i="6"/>
  <c r="L34" i="6"/>
  <c r="E34" i="6"/>
  <c r="G34" i="6"/>
  <c r="M34" i="6"/>
  <c r="F34" i="6"/>
  <c r="H34" i="6"/>
  <c r="L35" i="6"/>
  <c r="E35" i="6"/>
  <c r="G35" i="6"/>
  <c r="M35" i="6"/>
  <c r="F35" i="6"/>
  <c r="H35" i="6"/>
  <c r="L36" i="6"/>
  <c r="E36" i="6"/>
  <c r="G36" i="6"/>
  <c r="M36" i="6"/>
  <c r="F36" i="6"/>
  <c r="H36" i="6"/>
  <c r="L37" i="6"/>
  <c r="E37" i="6"/>
  <c r="G37" i="6"/>
  <c r="M37" i="6"/>
  <c r="F37" i="6"/>
  <c r="H37" i="6"/>
  <c r="L38" i="6"/>
  <c r="E38" i="6"/>
  <c r="G38" i="6"/>
  <c r="M38" i="6"/>
  <c r="F38" i="6"/>
  <c r="H38" i="6"/>
  <c r="L39" i="6"/>
  <c r="E39" i="6"/>
  <c r="G39" i="6"/>
  <c r="M39" i="6"/>
  <c r="F39" i="6"/>
  <c r="H39" i="6"/>
  <c r="L40" i="6"/>
  <c r="E40" i="6"/>
  <c r="G40" i="6"/>
  <c r="M40" i="6"/>
  <c r="F40" i="6"/>
  <c r="H40" i="6"/>
  <c r="L16" i="6"/>
  <c r="E16" i="6"/>
  <c r="G16" i="6"/>
  <c r="M16" i="6"/>
  <c r="F16" i="6"/>
  <c r="H16" i="6"/>
  <c r="L17" i="6"/>
  <c r="E17" i="6"/>
  <c r="G17" i="6"/>
  <c r="M17" i="6"/>
  <c r="F17" i="6"/>
  <c r="H17" i="6"/>
  <c r="L7" i="6"/>
  <c r="E7" i="6"/>
  <c r="G7" i="6"/>
  <c r="M7" i="6"/>
  <c r="F7" i="6"/>
  <c r="H7" i="6"/>
  <c r="L8" i="6"/>
  <c r="E8" i="6"/>
  <c r="G8" i="6"/>
  <c r="M8" i="6"/>
  <c r="F8" i="6"/>
  <c r="H8" i="6"/>
  <c r="L9" i="6"/>
  <c r="E9" i="6"/>
  <c r="G9" i="6"/>
  <c r="M9" i="6"/>
  <c r="F9" i="6"/>
  <c r="H9" i="6"/>
  <c r="L15" i="6"/>
  <c r="E15" i="6"/>
  <c r="G15" i="6"/>
  <c r="L21" i="6"/>
  <c r="E21" i="6"/>
  <c r="G21" i="6"/>
  <c r="L32" i="6"/>
  <c r="E32" i="6"/>
  <c r="G32" i="6"/>
  <c r="L47" i="6"/>
  <c r="E47" i="6"/>
  <c r="G47" i="6"/>
  <c r="F6" i="6"/>
  <c r="F77" i="6"/>
  <c r="F32" i="6"/>
  <c r="I57" i="6"/>
  <c r="I65" i="6"/>
  <c r="I78" i="6"/>
  <c r="I51" i="6"/>
  <c r="M77" i="6"/>
  <c r="L77" i="6"/>
  <c r="E77" i="6"/>
  <c r="G77" i="6"/>
  <c r="H77" i="6"/>
  <c r="I77" i="6"/>
  <c r="I50" i="6"/>
  <c r="I72" i="6"/>
  <c r="I61" i="6"/>
  <c r="M47" i="6"/>
  <c r="F47" i="6"/>
  <c r="H47" i="6"/>
  <c r="I47" i="6"/>
  <c r="I71" i="6"/>
  <c r="I73" i="6"/>
  <c r="I48" i="6"/>
  <c r="I56" i="6"/>
  <c r="I60" i="6"/>
  <c r="I49" i="6"/>
  <c r="I70" i="6"/>
  <c r="I40" i="6"/>
  <c r="I69" i="6"/>
  <c r="I39" i="6"/>
  <c r="I68" i="6"/>
  <c r="I38" i="6"/>
  <c r="I37" i="6"/>
  <c r="I67" i="6"/>
  <c r="I66" i="6"/>
  <c r="I64" i="6"/>
  <c r="I63" i="6"/>
  <c r="I54" i="6"/>
  <c r="I36" i="6"/>
  <c r="I35" i="6"/>
  <c r="I62" i="6"/>
  <c r="I34" i="6"/>
  <c r="I16" i="6"/>
  <c r="I59" i="6"/>
  <c r="I58" i="6"/>
  <c r="M32" i="6"/>
  <c r="H32" i="6"/>
  <c r="I32" i="6"/>
  <c r="M21" i="6"/>
  <c r="F21" i="6"/>
  <c r="H21" i="6"/>
  <c r="I21" i="6"/>
  <c r="I17" i="6"/>
  <c r="I8" i="6"/>
  <c r="M15" i="6"/>
  <c r="F15" i="6"/>
  <c r="H15" i="6"/>
  <c r="I15" i="6"/>
  <c r="I55" i="6"/>
  <c r="I33" i="6"/>
  <c r="I7" i="6"/>
  <c r="M53" i="6"/>
  <c r="L53" i="6"/>
  <c r="G53" i="6"/>
  <c r="H53" i="6"/>
  <c r="I53" i="6"/>
  <c r="M6" i="6"/>
  <c r="L6" i="6"/>
  <c r="E6" i="6"/>
  <c r="G6" i="6"/>
  <c r="H6" i="6"/>
  <c r="I6" i="6"/>
  <c r="I9" i="6"/>
</calcChain>
</file>

<file path=xl/sharedStrings.xml><?xml version="1.0" encoding="utf-8"?>
<sst xmlns="http://schemas.openxmlformats.org/spreadsheetml/2006/main" count="202" uniqueCount="144">
  <si>
    <t>Canton</t>
  </si>
  <si>
    <t>NE</t>
  </si>
  <si>
    <t>JU</t>
  </si>
  <si>
    <t>VS</t>
  </si>
  <si>
    <t>FR</t>
  </si>
  <si>
    <t>Leysin</t>
  </si>
  <si>
    <t>Les Pléiades</t>
  </si>
  <si>
    <t>Rochers de Naye</t>
  </si>
  <si>
    <t>St-George</t>
  </si>
  <si>
    <t>Verbier</t>
  </si>
  <si>
    <t>Nax</t>
  </si>
  <si>
    <t>Ovronnaz</t>
  </si>
  <si>
    <t>Vercorin</t>
  </si>
  <si>
    <t>Les Paccots</t>
  </si>
  <si>
    <t>Buttes/La Robella</t>
  </si>
  <si>
    <t>Le Pâquier/Crêt du Puy</t>
  </si>
  <si>
    <t xml:space="preserve">Les Breuleux </t>
  </si>
  <si>
    <t>Les Genevez</t>
  </si>
  <si>
    <t>Tramelan</t>
  </si>
  <si>
    <t>Les Prés d'Orvin</t>
  </si>
  <si>
    <t>Le Locle/Sommartel</t>
  </si>
  <si>
    <t>La Sagne</t>
  </si>
  <si>
    <t>La Corbatière/Roche aux Crocs</t>
  </si>
  <si>
    <t>Nods</t>
  </si>
  <si>
    <t>Rathvel</t>
  </si>
  <si>
    <t>Les Diablerets (Isenau)</t>
  </si>
  <si>
    <t>Bruson</t>
  </si>
  <si>
    <t>Malleray</t>
  </si>
  <si>
    <t>Grandval</t>
  </si>
  <si>
    <t>Tavannes/Sous le Mont</t>
  </si>
  <si>
    <t>Les Verrières</t>
  </si>
  <si>
    <t>La Côte aux Fées</t>
  </si>
  <si>
    <t>Morcles</t>
  </si>
  <si>
    <t>Mauborget</t>
  </si>
  <si>
    <t>La Forclaz</t>
  </si>
  <si>
    <t>Mayens de Conthey</t>
  </si>
  <si>
    <t>Seulement 1 tk</t>
  </si>
  <si>
    <t>X (503m)</t>
  </si>
  <si>
    <t>X (604m)</t>
  </si>
  <si>
    <t>X (597m)</t>
  </si>
  <si>
    <t>X (917m)</t>
  </si>
  <si>
    <t>X (380m)</t>
  </si>
  <si>
    <t>X (423m)</t>
  </si>
  <si>
    <t>X (659m)</t>
  </si>
  <si>
    <t>X (1091m)</t>
  </si>
  <si>
    <t>X (665m)</t>
  </si>
  <si>
    <t>X (456m)</t>
  </si>
  <si>
    <t>X (455m)</t>
  </si>
  <si>
    <t>X (446m)</t>
  </si>
  <si>
    <t>X (753m)</t>
  </si>
  <si>
    <t>X (270m)</t>
  </si>
  <si>
    <t>X (513m)</t>
  </si>
  <si>
    <t>X (1020m)</t>
  </si>
  <si>
    <t>X (486m)</t>
  </si>
  <si>
    <t>X (350m)</t>
  </si>
  <si>
    <t>X (660m)</t>
  </si>
  <si>
    <t>X (1050m)</t>
  </si>
  <si>
    <t>X (300m)</t>
  </si>
  <si>
    <t>Domaine skiable</t>
  </si>
  <si>
    <t>4 adultes</t>
  </si>
  <si>
    <t>3 adultes</t>
  </si>
  <si>
    <t>VD</t>
  </si>
  <si>
    <t>VD/BE</t>
  </si>
  <si>
    <t>Leysin + Les Mosses</t>
  </si>
  <si>
    <t>VS/F</t>
  </si>
  <si>
    <t>Portes du Soleil</t>
  </si>
  <si>
    <t>Nendaz, Thyon, Veysonnaz</t>
  </si>
  <si>
    <t>Bruson, Savoleyres, La Tzoumaz</t>
  </si>
  <si>
    <t>Domaine entier</t>
  </si>
  <si>
    <t>Château d'Oex</t>
  </si>
  <si>
    <t>Rougemont, Saanen, Gstaad, Zweisimmen</t>
  </si>
  <si>
    <t>Villars, Les Diablerets (sans glacier)</t>
  </si>
  <si>
    <t>Rabais moyen</t>
  </si>
  <si>
    <t>A</t>
  </si>
  <si>
    <t>B</t>
  </si>
  <si>
    <t>Rabais</t>
  </si>
  <si>
    <t>Chandolin, St-Luc</t>
  </si>
  <si>
    <t>Domaine entier (y compris Grimentz, Zinal)</t>
  </si>
  <si>
    <t>Vallée de Joux</t>
  </si>
  <si>
    <t>Espace Dôle</t>
  </si>
  <si>
    <t>St-Cergue, la Dôle (versant suisse)</t>
  </si>
  <si>
    <t>St-Cergue (village)</t>
  </si>
  <si>
    <t>St-Cergue, La Dôle, Les Rousses</t>
  </si>
  <si>
    <t>Arolla, Evolène, La Forclaz</t>
  </si>
  <si>
    <t>Espace Dent Blanche</t>
  </si>
  <si>
    <r>
      <t>Scénario A:</t>
    </r>
    <r>
      <rPr>
        <sz val="12"/>
        <color theme="1"/>
        <rFont val="Calibri"/>
        <family val="2"/>
        <scheme val="minor"/>
      </rPr>
      <t xml:space="preserve"> 2 adultes, 1 enfant né le 01.07.07 (8 ans), 1 enfant né le 01.07.02 (13 ans)     </t>
    </r>
    <r>
      <rPr>
        <b/>
        <sz val="12"/>
        <color theme="1"/>
        <rFont val="Calibri"/>
        <family val="2"/>
        <scheme val="minor"/>
      </rPr>
      <t>Rabais A</t>
    </r>
    <r>
      <rPr>
        <sz val="12"/>
        <color theme="1"/>
        <rFont val="Calibri"/>
        <family val="2"/>
        <scheme val="minor"/>
      </rPr>
      <t>: Par rapport à 4 cartes journalières au plein tarif</t>
    </r>
    <r>
      <rPr>
        <b/>
        <sz val="12"/>
        <color theme="1"/>
        <rFont val="Calibri"/>
        <family val="2"/>
        <scheme val="minor"/>
      </rPr>
      <t xml:space="preserve">
Scénario B: </t>
    </r>
    <r>
      <rPr>
        <sz val="12"/>
        <color theme="1"/>
        <rFont val="Calibri"/>
        <family val="2"/>
        <scheme val="minor"/>
      </rPr>
      <t xml:space="preserve">1 adulte, 1 enfant né le 01.07.05 (10 ans), 1 enfant né le 01.07.99 (16 ans)     </t>
    </r>
    <r>
      <rPr>
        <b/>
        <sz val="12"/>
        <color theme="1"/>
        <rFont val="Calibri"/>
        <family val="2"/>
        <scheme val="minor"/>
      </rPr>
      <t xml:space="preserve">Rabais B: </t>
    </r>
    <r>
      <rPr>
        <sz val="12"/>
        <color theme="1"/>
        <rFont val="Calibri"/>
        <family val="2"/>
        <scheme val="minor"/>
      </rPr>
      <t>Par rapport à 4 cartes journalières au plein tarif</t>
    </r>
  </si>
  <si>
    <t>Jaun</t>
  </si>
  <si>
    <t>Verifier</t>
  </si>
  <si>
    <t>La Berra</t>
  </si>
  <si>
    <t>2014/2015</t>
  </si>
  <si>
    <t>Lac Noir</t>
  </si>
  <si>
    <t>Champéry, Morgins (CLCF)</t>
  </si>
  <si>
    <t>Morgins, Champoussin</t>
  </si>
  <si>
    <t>Ste-Croix/Les Rasses</t>
  </si>
  <si>
    <t>Bourg St-Pierre</t>
  </si>
  <si>
    <t>note: 2x 1/2 journée</t>
  </si>
  <si>
    <t>Rayon de validité de l'abonnement</t>
  </si>
  <si>
    <t>Bulle/La Chia</t>
  </si>
  <si>
    <t>Le Gibloux</t>
  </si>
  <si>
    <t>La Chaux-de-Fonds/Chapeau Râblé</t>
  </si>
  <si>
    <t>Baulmes/La Combette</t>
  </si>
  <si>
    <t>BE</t>
  </si>
  <si>
    <t>VD/F</t>
  </si>
  <si>
    <t>Alpes</t>
  </si>
  <si>
    <t>Jura</t>
  </si>
  <si>
    <t>net</t>
  </si>
  <si>
    <t>No</t>
  </si>
  <si>
    <t>yes (-15 jours)</t>
  </si>
  <si>
    <t>yes</t>
  </si>
  <si>
    <t>no</t>
  </si>
  <si>
    <t>yes, sans réduc</t>
  </si>
  <si>
    <t>yes (-10 jours)</t>
  </si>
  <si>
    <t>Envoyer mag' Nendaz</t>
  </si>
  <si>
    <t>yes (basse saison)</t>
  </si>
  <si>
    <t>Envoyer mag</t>
  </si>
  <si>
    <t>Ski en famille: de 8 à 40% de réduction</t>
  </si>
  <si>
    <t>Torgon, Châtel+Linga, Morgins (Liberté)</t>
  </si>
  <si>
    <t>Morgins, Champoussin, Châtel, Torgon, La Chap. d'Abondance (Evasion)</t>
  </si>
  <si>
    <t>Torgon, La Chapelle d'Abondance</t>
  </si>
  <si>
    <t>confirmé par tel. OT Jura Bernois</t>
  </si>
  <si>
    <t>La Forclaz/La Sage</t>
  </si>
  <si>
    <t>Les Mosses, La Lécherette</t>
  </si>
  <si>
    <t>Les Diablerets (glacier)</t>
  </si>
  <si>
    <t>Pays du Saint-Bernard</t>
  </si>
  <si>
    <t>L'Abbaye, Le Brassus, L'Orient, Dent de Vaulion</t>
  </si>
  <si>
    <t>Charmey *</t>
  </si>
  <si>
    <t>4 Vallées *</t>
  </si>
  <si>
    <t>Moléson *</t>
  </si>
  <si>
    <t>Gstaad Mountain Rides *</t>
  </si>
  <si>
    <t>Anzère *</t>
  </si>
  <si>
    <t>Alpes Vaudoises *</t>
  </si>
  <si>
    <t>Val d'Anniviers *</t>
  </si>
  <si>
    <t>Crans-Montana *</t>
  </si>
  <si>
    <t>Les Bugnenets/Savagnières *</t>
  </si>
  <si>
    <r>
      <t xml:space="preserve">Classement selon le rabais moyen par rapport au plein tarif, puis selon le prix total du scénario A. Tous les domaines skiables de Suisse romande offrant au moins une remontée mécanique d’une longueur minimale de 250 m ont été retenus. </t>
    </r>
    <r>
      <rPr>
        <vertAlign val="superscript"/>
        <sz val="10"/>
        <color theme="1"/>
        <rFont val="Geneva"/>
      </rPr>
      <t>(1)</t>
    </r>
    <r>
      <rPr>
        <sz val="10"/>
        <color theme="1"/>
        <rFont val="Geneva"/>
      </rPr>
      <t xml:space="preserve">Baby-lifts non compris. Les installations en plusieurs tronçons ne sont comptabilisées qu’une fois. </t>
    </r>
    <r>
      <rPr>
        <vertAlign val="superscript"/>
        <sz val="10"/>
        <color theme="1"/>
        <rFont val="Geneva"/>
      </rPr>
      <t>(2)</t>
    </r>
    <r>
      <rPr>
        <sz val="10"/>
        <color theme="1"/>
        <rFont val="Geneva"/>
      </rPr>
      <t xml:space="preserve">Tarif haute saison, avec rabais enfant et/ou famille, hors offres spéciales et réductions en cas d’achat en ligne. </t>
    </r>
    <r>
      <rPr>
        <vertAlign val="superscript"/>
        <sz val="10"/>
        <color theme="1"/>
        <rFont val="Geneva"/>
      </rPr>
      <t>(3)</t>
    </r>
    <r>
      <rPr>
        <sz val="10"/>
        <color theme="1"/>
        <rFont val="Geneva"/>
      </rPr>
      <t xml:space="preserve">Tarifs majorés si le forfait est acheté aux Marécottes. </t>
    </r>
    <r>
      <rPr>
        <vertAlign val="superscript"/>
        <sz val="10"/>
        <color theme="1"/>
        <rFont val="Geneva"/>
      </rPr>
      <t>(4)</t>
    </r>
    <r>
      <rPr>
        <sz val="10"/>
        <color theme="1"/>
        <rFont val="Geneva"/>
      </rPr>
      <t xml:space="preserve">Un rabais supplémentaire est accordé aux familles monoparentales, aux caisses de Télémorgins uniquement. </t>
    </r>
    <r>
      <rPr>
        <vertAlign val="superscript"/>
        <sz val="10"/>
        <color theme="1"/>
        <rFont val="Geneva"/>
      </rPr>
      <t>(5)</t>
    </r>
    <r>
      <rPr>
        <sz val="10"/>
        <color theme="1"/>
        <rFont val="Geneva"/>
      </rPr>
      <t xml:space="preserve">Il n’a pas été possible de déterminer si l’ado de 16 ans paie le tarif enfant (total: 50 fr.) ou adulte (total: 55 fr.) </t>
    </r>
    <r>
      <rPr>
        <vertAlign val="superscript"/>
        <sz val="10"/>
        <color theme="1"/>
        <rFont val="Geneva"/>
      </rPr>
      <t>(6)</t>
    </r>
    <r>
      <rPr>
        <sz val="10"/>
        <color theme="1"/>
        <rFont val="Geneva"/>
      </rPr>
      <t>Pas en service en 2015/2016. *Rabais possible en cas d'achat du forfait sur internet.</t>
    </r>
  </si>
  <si>
    <r>
      <t>Nbre de remonte-pentes</t>
    </r>
    <r>
      <rPr>
        <b/>
        <vertAlign val="superscript"/>
        <sz val="12"/>
        <rFont val="Calibri"/>
        <scheme val="minor"/>
      </rPr>
      <t>(1)</t>
    </r>
  </si>
  <si>
    <r>
      <t>Prix pour une journée</t>
    </r>
    <r>
      <rPr>
        <b/>
        <vertAlign val="superscript"/>
        <sz val="12"/>
        <color theme="1"/>
        <rFont val="Calibri"/>
        <scheme val="minor"/>
      </rPr>
      <t>(2)</t>
    </r>
  </si>
  <si>
    <r>
      <t>Champex, La Fouly, Les Marécottes</t>
    </r>
    <r>
      <rPr>
        <vertAlign val="superscript"/>
        <sz val="12"/>
        <color theme="1"/>
        <rFont val="Calibri"/>
        <scheme val="minor"/>
      </rPr>
      <t>(3)</t>
    </r>
    <r>
      <rPr>
        <sz val="12"/>
        <color theme="1"/>
        <rFont val="Calibri"/>
        <family val="2"/>
        <scheme val="minor"/>
      </rPr>
      <t>, Vichères</t>
    </r>
  </si>
  <si>
    <r>
      <t>101.00 fr.</t>
    </r>
    <r>
      <rPr>
        <vertAlign val="superscript"/>
        <sz val="12"/>
        <color theme="1"/>
        <rFont val="Calibri"/>
        <scheme val="minor"/>
      </rPr>
      <t>(4)</t>
    </r>
  </si>
  <si>
    <r>
      <t>127.00 fr.</t>
    </r>
    <r>
      <rPr>
        <vertAlign val="superscript"/>
        <sz val="12"/>
        <color theme="1"/>
        <rFont val="Calibri"/>
        <scheme val="minor"/>
      </rPr>
      <t>(4)</t>
    </r>
  </si>
  <si>
    <r>
      <t>115.00 fr.</t>
    </r>
    <r>
      <rPr>
        <vertAlign val="superscript"/>
        <sz val="12"/>
        <color theme="1"/>
        <rFont val="Calibri"/>
        <scheme val="minor"/>
      </rPr>
      <t>(4)</t>
    </r>
  </si>
  <si>
    <t>117.00 fr.</t>
  </si>
  <si>
    <r>
      <t>55.00 fr.</t>
    </r>
    <r>
      <rPr>
        <vertAlign val="superscript"/>
        <sz val="12"/>
        <color theme="1"/>
        <rFont val="Calibri"/>
        <scheme val="minor"/>
      </rPr>
      <t>(5)</t>
    </r>
  </si>
  <si>
    <r>
      <t>Reconvilier/La Golatte</t>
    </r>
    <r>
      <rPr>
        <vertAlign val="superscript"/>
        <sz val="12"/>
        <color theme="1"/>
        <rFont val="Calibri"/>
        <scheme val="minor"/>
      </rPr>
      <t>(6)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</si>
</sst>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0.00\ \f\r."/>
    <numFmt numFmtId="165" formatCode="0.0%"/>
    <numFmt numFmtId="166" formatCode="0.00\ \f\r."/>
  </numFmts>
  <fonts count="15" x14ac:knownFonts="1">
    <font>
      <sz val="12"/>
      <color theme="1"/>
      <name val="Calibri"/>
      <family val="2"/>
      <scheme val="minor"/>
    </font>
    <font>
      <b/>
      <sz val="12"/>
      <color theme="1"/>
      <name val="Calibri"/>
      <family val="2"/>
      <scheme val="minor"/>
    </font>
    <font>
      <b/>
      <sz val="12"/>
      <name val="Calibri"/>
      <scheme val="minor"/>
    </font>
    <font>
      <u/>
      <sz val="12"/>
      <color theme="10"/>
      <name val="Calibri"/>
      <family val="2"/>
      <scheme val="minor"/>
    </font>
    <font>
      <u/>
      <sz val="12"/>
      <color theme="11"/>
      <name val="Calibri"/>
      <family val="2"/>
      <scheme val="minor"/>
    </font>
    <font>
      <b/>
      <vertAlign val="superscript"/>
      <sz val="12"/>
      <name val="Calibri"/>
      <scheme val="minor"/>
    </font>
    <font>
      <sz val="12"/>
      <name val="Calibri"/>
      <scheme val="minor"/>
    </font>
    <font>
      <b/>
      <vertAlign val="superscript"/>
      <sz val="12"/>
      <color theme="1"/>
      <name val="Calibri"/>
      <scheme val="minor"/>
    </font>
    <font>
      <vertAlign val="superscript"/>
      <sz val="12"/>
      <color theme="1"/>
      <name val="Calibri"/>
      <scheme val="minor"/>
    </font>
    <font>
      <b/>
      <sz val="28"/>
      <color theme="1"/>
      <name val="Calibri"/>
      <scheme val="minor"/>
    </font>
    <font>
      <sz val="12"/>
      <color theme="0"/>
      <name val="Calibri"/>
      <family val="2"/>
      <scheme val="minor"/>
    </font>
    <font>
      <sz val="12"/>
      <color rgb="FF000000"/>
      <name val="Calibri"/>
      <family val="2"/>
      <scheme val="minor"/>
    </font>
    <font>
      <b/>
      <sz val="20"/>
      <color theme="0"/>
      <name val="Calibri"/>
      <scheme val="minor"/>
    </font>
    <font>
      <sz val="10"/>
      <color theme="1"/>
      <name val="Geneva"/>
    </font>
    <font>
      <vertAlign val="superscript"/>
      <sz val="10"/>
      <color theme="1"/>
      <name val="Geneva"/>
    </font>
  </fonts>
  <fills count="10">
    <fill>
      <patternFill patternType="none"/>
    </fill>
    <fill>
      <patternFill patternType="gray125"/>
    </fill>
    <fill>
      <patternFill patternType="solid">
        <fgColor theme="3" tint="0.59999389629810485"/>
        <bgColor indexed="64"/>
      </patternFill>
    </fill>
    <fill>
      <patternFill patternType="solid">
        <fgColor rgb="FFFF0000"/>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bgColor rgb="FF000000"/>
      </patternFill>
    </fill>
    <fill>
      <patternFill patternType="solid">
        <fgColor theme="6" tint="0.39997558519241921"/>
        <bgColor indexed="64"/>
      </patternFill>
    </fill>
    <fill>
      <patternFill patternType="solid">
        <fgColor theme="1"/>
        <bgColor indexed="64"/>
      </patternFill>
    </fill>
  </fills>
  <borders count="4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style="medium">
        <color auto="1"/>
      </right>
      <top style="medium">
        <color auto="1"/>
      </top>
      <bottom style="thin">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s>
  <cellStyleXfs count="125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6">
    <xf numFmtId="0" fontId="0" fillId="0" borderId="0" xfId="0"/>
    <xf numFmtId="0" fontId="1" fillId="0" borderId="0" xfId="0" applyFont="1"/>
    <xf numFmtId="0" fontId="0" fillId="3" borderId="0" xfId="0" applyFill="1"/>
    <xf numFmtId="0" fontId="0" fillId="0" borderId="0" xfId="0" applyAlignment="1">
      <alignment horizontal="center"/>
    </xf>
    <xf numFmtId="0" fontId="1" fillId="0" borderId="0" xfId="0" applyFont="1" applyAlignment="1">
      <alignment horizontal="center"/>
    </xf>
    <xf numFmtId="0" fontId="0" fillId="0" borderId="1" xfId="0" applyFont="1" applyBorder="1"/>
    <xf numFmtId="0" fontId="0" fillId="0" borderId="8" xfId="0" applyFont="1" applyBorder="1"/>
    <xf numFmtId="0" fontId="0" fillId="0" borderId="10" xfId="0" applyFont="1" applyBorder="1"/>
    <xf numFmtId="0" fontId="0" fillId="0" borderId="11" xfId="0" applyFont="1" applyBorder="1" applyAlignment="1">
      <alignment horizontal="center"/>
    </xf>
    <xf numFmtId="0" fontId="0" fillId="0" borderId="6" xfId="0" applyFont="1" applyBorder="1" applyAlignment="1">
      <alignment horizontal="center"/>
    </xf>
    <xf numFmtId="0" fontId="0" fillId="0" borderId="9" xfId="0" applyFont="1" applyBorder="1" applyAlignment="1">
      <alignment horizontal="center"/>
    </xf>
    <xf numFmtId="9" fontId="0" fillId="4" borderId="6" xfId="0" applyNumberFormat="1" applyFont="1" applyFill="1" applyBorder="1" applyAlignment="1">
      <alignment horizontal="center" vertical="center"/>
    </xf>
    <xf numFmtId="0" fontId="6" fillId="0" borderId="6" xfId="0" applyFont="1" applyBorder="1" applyAlignment="1">
      <alignment horizontal="center"/>
    </xf>
    <xf numFmtId="0" fontId="0" fillId="0" borderId="4" xfId="0" applyFont="1" applyBorder="1" applyAlignment="1">
      <alignment horizontal="center"/>
    </xf>
    <xf numFmtId="9" fontId="0" fillId="4" borderId="27" xfId="0" applyNumberFormat="1" applyFont="1" applyFill="1" applyBorder="1" applyAlignment="1">
      <alignment horizontal="center" vertical="center"/>
    </xf>
    <xf numFmtId="0" fontId="0" fillId="0" borderId="1" xfId="0" applyFont="1" applyBorder="1" applyAlignment="1">
      <alignment horizontal="left"/>
    </xf>
    <xf numFmtId="0" fontId="6" fillId="0" borderId="1" xfId="0" applyFont="1" applyBorder="1" applyAlignment="1">
      <alignment horizontal="left"/>
    </xf>
    <xf numFmtId="0" fontId="0" fillId="0" borderId="8" xfId="0" applyFont="1" applyBorder="1" applyAlignment="1">
      <alignment horizontal="left"/>
    </xf>
    <xf numFmtId="0" fontId="0" fillId="4" borderId="34" xfId="0" applyFont="1" applyFill="1" applyBorder="1" applyAlignment="1">
      <alignment horizontal="center" vertical="center" wrapText="1"/>
    </xf>
    <xf numFmtId="0" fontId="0" fillId="0" borderId="35" xfId="0" applyFont="1" applyBorder="1"/>
    <xf numFmtId="0" fontId="0" fillId="0" borderId="35" xfId="0" applyFont="1" applyBorder="1" applyAlignment="1">
      <alignment horizontal="left"/>
    </xf>
    <xf numFmtId="0" fontId="0" fillId="0" borderId="23" xfId="0" applyFont="1" applyBorder="1" applyAlignment="1">
      <alignment horizontal="center"/>
    </xf>
    <xf numFmtId="9" fontId="0" fillId="4" borderId="23" xfId="0" applyNumberFormat="1" applyFont="1" applyFill="1" applyBorder="1" applyAlignment="1">
      <alignment horizontal="center" vertical="center"/>
    </xf>
    <xf numFmtId="165" fontId="0" fillId="4" borderId="13" xfId="0" applyNumberFormat="1" applyFill="1" applyBorder="1" applyAlignment="1">
      <alignment horizontal="center"/>
    </xf>
    <xf numFmtId="0" fontId="0" fillId="0" borderId="3" xfId="0" applyFont="1" applyBorder="1"/>
    <xf numFmtId="9" fontId="0" fillId="4" borderId="24" xfId="0" applyNumberFormat="1" applyFont="1" applyFill="1" applyBorder="1" applyAlignment="1">
      <alignment horizontal="center" vertical="center"/>
    </xf>
    <xf numFmtId="9" fontId="0" fillId="4" borderId="9" xfId="0" applyNumberFormat="1" applyFont="1" applyFill="1" applyBorder="1" applyAlignment="1">
      <alignment horizontal="center" vertical="center"/>
    </xf>
    <xf numFmtId="0" fontId="0" fillId="0" borderId="3" xfId="0" applyFont="1" applyBorder="1" applyAlignment="1">
      <alignment horizontal="left"/>
    </xf>
    <xf numFmtId="0" fontId="0" fillId="0" borderId="35" xfId="0" applyFont="1" applyBorder="1" applyAlignment="1">
      <alignment vertical="center"/>
    </xf>
    <xf numFmtId="9" fontId="0" fillId="4" borderId="4" xfId="0" applyNumberFormat="1" applyFont="1" applyFill="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center"/>
    </xf>
    <xf numFmtId="0" fontId="0" fillId="0" borderId="35" xfId="0" applyFont="1" applyFill="1" applyBorder="1"/>
    <xf numFmtId="0" fontId="0" fillId="0" borderId="23" xfId="0" applyFont="1" applyFill="1" applyBorder="1" applyAlignment="1">
      <alignment horizontal="center"/>
    </xf>
    <xf numFmtId="165" fontId="0" fillId="4" borderId="40" xfId="0" applyNumberFormat="1" applyFill="1" applyBorder="1" applyAlignment="1">
      <alignment horizontal="center"/>
    </xf>
    <xf numFmtId="0" fontId="6" fillId="0" borderId="11" xfId="0" applyFont="1" applyBorder="1" applyAlignment="1">
      <alignment horizontal="center"/>
    </xf>
    <xf numFmtId="9" fontId="0" fillId="4" borderId="11" xfId="0" applyNumberFormat="1" applyFont="1" applyFill="1" applyBorder="1" applyAlignment="1">
      <alignment horizontal="center" vertical="center"/>
    </xf>
    <xf numFmtId="0" fontId="11" fillId="0" borderId="0" xfId="0" applyFont="1"/>
    <xf numFmtId="0" fontId="6" fillId="0" borderId="9" xfId="0" applyFont="1" applyBorder="1" applyAlignment="1">
      <alignment horizontal="center"/>
    </xf>
    <xf numFmtId="0" fontId="2" fillId="6" borderId="7" xfId="0" applyFont="1" applyFill="1" applyBorder="1" applyAlignment="1">
      <alignment horizontal="center" vertical="center" wrapText="1"/>
    </xf>
    <xf numFmtId="0" fontId="2" fillId="6" borderId="9" xfId="0" applyFont="1" applyFill="1" applyBorder="1" applyAlignment="1">
      <alignment horizontal="center" vertical="center" wrapText="1"/>
    </xf>
    <xf numFmtId="9" fontId="2" fillId="6" borderId="7" xfId="0" applyNumberFormat="1" applyFont="1" applyFill="1" applyBorder="1" applyAlignment="1">
      <alignment horizontal="center" vertical="center" wrapText="1"/>
    </xf>
    <xf numFmtId="9" fontId="2" fillId="6" borderId="9" xfId="0" applyNumberFormat="1" applyFont="1" applyFill="1" applyBorder="1" applyAlignment="1">
      <alignment horizontal="center" vertical="center" wrapText="1"/>
    </xf>
    <xf numFmtId="0" fontId="0" fillId="4" borderId="0" xfId="0" applyFill="1" applyAlignment="1">
      <alignment horizontal="center"/>
    </xf>
    <xf numFmtId="0" fontId="0" fillId="4" borderId="0" xfId="0" applyFill="1"/>
    <xf numFmtId="0" fontId="0" fillId="8" borderId="0" xfId="0" applyFill="1"/>
    <xf numFmtId="0" fontId="10" fillId="4" borderId="0" xfId="0" applyFont="1" applyFill="1"/>
    <xf numFmtId="0" fontId="0" fillId="4" borderId="41" xfId="0" applyFont="1" applyFill="1" applyBorder="1" applyAlignment="1">
      <alignment horizontal="center" vertical="center" wrapText="1"/>
    </xf>
    <xf numFmtId="0" fontId="0" fillId="0" borderId="46" xfId="0" applyFont="1" applyBorder="1"/>
    <xf numFmtId="164" fontId="0" fillId="4" borderId="5" xfId="0" applyNumberFormat="1" applyFont="1" applyFill="1" applyBorder="1" applyAlignment="1">
      <alignment horizontal="center"/>
    </xf>
    <xf numFmtId="164" fontId="0" fillId="4" borderId="6" xfId="0" applyNumberFormat="1" applyFont="1" applyFill="1" applyBorder="1" applyAlignment="1">
      <alignment horizontal="center"/>
    </xf>
    <xf numFmtId="0" fontId="0" fillId="4" borderId="0" xfId="0" applyFont="1" applyFill="1" applyAlignment="1">
      <alignment horizontal="center"/>
    </xf>
    <xf numFmtId="0" fontId="0" fillId="4" borderId="0" xfId="0" applyFont="1" applyFill="1"/>
    <xf numFmtId="164" fontId="0" fillId="4" borderId="41" xfId="0" applyNumberFormat="1" applyFont="1" applyFill="1" applyBorder="1" applyAlignment="1">
      <alignment horizontal="center"/>
    </xf>
    <xf numFmtId="164" fontId="0" fillId="4" borderId="11" xfId="0" applyNumberFormat="1" applyFont="1" applyFill="1" applyBorder="1" applyAlignment="1">
      <alignment horizontal="center"/>
    </xf>
    <xf numFmtId="165" fontId="0" fillId="4" borderId="45" xfId="0" applyNumberFormat="1" applyFont="1" applyFill="1" applyBorder="1" applyAlignment="1">
      <alignment horizontal="center"/>
    </xf>
    <xf numFmtId="0" fontId="0" fillId="0" borderId="47" xfId="0" applyFont="1" applyBorder="1"/>
    <xf numFmtId="164" fontId="0" fillId="4" borderId="34" xfId="0" applyNumberFormat="1" applyFont="1" applyFill="1" applyBorder="1" applyAlignment="1">
      <alignment horizontal="center"/>
    </xf>
    <xf numFmtId="164" fontId="0" fillId="4" borderId="23" xfId="0" applyNumberFormat="1" applyFont="1" applyFill="1" applyBorder="1" applyAlignment="1">
      <alignment horizontal="center"/>
    </xf>
    <xf numFmtId="165" fontId="0" fillId="4" borderId="13" xfId="0" applyNumberFormat="1" applyFont="1" applyFill="1" applyBorder="1" applyAlignment="1">
      <alignment horizontal="center"/>
    </xf>
    <xf numFmtId="0" fontId="0" fillId="0" borderId="47" xfId="0" applyFont="1" applyBorder="1" applyAlignment="1">
      <alignment vertical="center"/>
    </xf>
    <xf numFmtId="164" fontId="6" fillId="4" borderId="34" xfId="0" applyNumberFormat="1" applyFont="1" applyFill="1" applyBorder="1" applyAlignment="1">
      <alignment horizontal="center"/>
    </xf>
    <xf numFmtId="164" fontId="6" fillId="4" borderId="23" xfId="0" applyNumberFormat="1" applyFont="1" applyFill="1" applyBorder="1" applyAlignment="1">
      <alignment horizontal="center"/>
    </xf>
    <xf numFmtId="165" fontId="6" fillId="4" borderId="13" xfId="0" applyNumberFormat="1" applyFont="1" applyFill="1" applyBorder="1" applyAlignment="1">
      <alignment horizontal="center"/>
    </xf>
    <xf numFmtId="164" fontId="0" fillId="4" borderId="23" xfId="0" applyNumberFormat="1" applyFill="1" applyBorder="1" applyAlignment="1">
      <alignment horizontal="center"/>
    </xf>
    <xf numFmtId="0" fontId="6" fillId="0" borderId="8" xfId="0" applyFont="1" applyBorder="1" applyAlignment="1">
      <alignment horizontal="left"/>
    </xf>
    <xf numFmtId="0" fontId="6" fillId="0" borderId="35" xfId="0" applyFont="1" applyBorder="1"/>
    <xf numFmtId="0" fontId="6" fillId="0" borderId="47" xfId="0" applyFont="1" applyBorder="1"/>
    <xf numFmtId="164" fontId="0" fillId="4" borderId="34" xfId="0" applyNumberFormat="1" applyFill="1" applyBorder="1" applyAlignment="1">
      <alignment horizontal="center"/>
    </xf>
    <xf numFmtId="165" fontId="0" fillId="4" borderId="13" xfId="0" applyNumberFormat="1" applyFill="1" applyBorder="1" applyAlignment="1">
      <alignment horizontal="center" vertical="center"/>
    </xf>
    <xf numFmtId="9" fontId="0" fillId="4" borderId="0" xfId="0" applyNumberFormat="1" applyFill="1" applyAlignment="1">
      <alignment horizontal="center"/>
    </xf>
    <xf numFmtId="164" fontId="0" fillId="4" borderId="41" xfId="0" applyNumberFormat="1" applyFill="1" applyBorder="1" applyAlignment="1">
      <alignment horizontal="center"/>
    </xf>
    <xf numFmtId="0" fontId="6" fillId="0" borderId="35" xfId="0" applyFont="1" applyBorder="1" applyAlignment="1">
      <alignment vertical="center"/>
    </xf>
    <xf numFmtId="0" fontId="6" fillId="0" borderId="47" xfId="0" applyFont="1" applyBorder="1" applyAlignment="1">
      <alignment vertical="center"/>
    </xf>
    <xf numFmtId="165" fontId="6" fillId="4" borderId="13" xfId="0" applyNumberFormat="1" applyFont="1" applyFill="1" applyBorder="1" applyAlignment="1">
      <alignment horizontal="center" vertical="center"/>
    </xf>
    <xf numFmtId="0" fontId="11" fillId="4" borderId="0" xfId="0" applyFont="1" applyFill="1" applyAlignment="1">
      <alignment horizontal="center"/>
    </xf>
    <xf numFmtId="0" fontId="11" fillId="4" borderId="0" xfId="0" applyFont="1" applyFill="1"/>
    <xf numFmtId="0" fontId="0" fillId="4" borderId="34" xfId="0" applyFont="1" applyFill="1" applyBorder="1" applyAlignment="1">
      <alignment horizontal="center" vertical="center"/>
    </xf>
    <xf numFmtId="9" fontId="6" fillId="4" borderId="23" xfId="0" applyNumberFormat="1" applyFont="1" applyFill="1" applyBorder="1" applyAlignment="1">
      <alignment horizontal="center" vertical="center"/>
    </xf>
    <xf numFmtId="0" fontId="11" fillId="7" borderId="37" xfId="0" applyFont="1" applyFill="1" applyBorder="1" applyAlignment="1">
      <alignment horizontal="center" vertical="center" wrapText="1"/>
    </xf>
    <xf numFmtId="0" fontId="11" fillId="0" borderId="20" xfId="0" applyFont="1" applyBorder="1"/>
    <xf numFmtId="0" fontId="11" fillId="0" borderId="48" xfId="0" applyFont="1" applyBorder="1"/>
    <xf numFmtId="0" fontId="11" fillId="0" borderId="24" xfId="0" applyFont="1" applyBorder="1" applyAlignment="1">
      <alignment horizontal="center"/>
    </xf>
    <xf numFmtId="164" fontId="11" fillId="7" borderId="37" xfId="0" applyNumberFormat="1" applyFont="1" applyFill="1" applyBorder="1" applyAlignment="1">
      <alignment horizontal="center"/>
    </xf>
    <xf numFmtId="164" fontId="11" fillId="7" borderId="24" xfId="0" applyNumberFormat="1" applyFont="1" applyFill="1" applyBorder="1" applyAlignment="1">
      <alignment horizontal="center"/>
    </xf>
    <xf numFmtId="0" fontId="0" fillId="0" borderId="47" xfId="0" applyFont="1" applyFill="1" applyBorder="1"/>
    <xf numFmtId="9" fontId="0" fillId="4" borderId="36" xfId="0" applyNumberFormat="1" applyFont="1" applyFill="1" applyBorder="1" applyAlignment="1">
      <alignment horizontal="center" vertical="center"/>
    </xf>
    <xf numFmtId="9" fontId="0" fillId="4" borderId="39" xfId="0" applyNumberFormat="1" applyFont="1" applyFill="1" applyBorder="1" applyAlignment="1">
      <alignment horizontal="center" vertical="center"/>
    </xf>
    <xf numFmtId="9" fontId="0" fillId="4" borderId="29" xfId="0" applyNumberFormat="1" applyFont="1" applyFill="1" applyBorder="1" applyAlignment="1">
      <alignment horizontal="center" vertical="center"/>
    </xf>
    <xf numFmtId="9" fontId="0" fillId="4" borderId="31" xfId="0" applyNumberFormat="1" applyFont="1" applyFill="1" applyBorder="1" applyAlignment="1">
      <alignment horizontal="center" vertical="center"/>
    </xf>
    <xf numFmtId="9" fontId="0" fillId="4" borderId="30" xfId="0" applyNumberFormat="1" applyFont="1" applyFill="1" applyBorder="1" applyAlignment="1">
      <alignment horizontal="center" vertical="center"/>
    </xf>
    <xf numFmtId="9" fontId="0" fillId="4" borderId="18" xfId="0" applyNumberFormat="1" applyFont="1" applyFill="1" applyBorder="1" applyAlignment="1">
      <alignment horizontal="center" vertical="center"/>
    </xf>
    <xf numFmtId="9" fontId="0" fillId="4" borderId="32" xfId="0" applyNumberFormat="1" applyFont="1" applyFill="1" applyBorder="1" applyAlignment="1">
      <alignment horizontal="center" vertical="center"/>
    </xf>
    <xf numFmtId="9" fontId="6" fillId="4" borderId="36" xfId="0" applyNumberFormat="1" applyFont="1" applyFill="1" applyBorder="1" applyAlignment="1">
      <alignment horizontal="center" vertical="center"/>
    </xf>
    <xf numFmtId="164" fontId="0" fillId="4" borderId="2" xfId="0" applyNumberFormat="1" applyFont="1" applyFill="1" applyBorder="1" applyAlignment="1">
      <alignment horizontal="center"/>
    </xf>
    <xf numFmtId="164" fontId="0" fillId="4" borderId="44" xfId="0" applyNumberFormat="1" applyFont="1" applyFill="1" applyBorder="1" applyAlignment="1">
      <alignment horizontal="center"/>
    </xf>
    <xf numFmtId="164" fontId="0" fillId="4" borderId="16" xfId="0" applyNumberFormat="1" applyFont="1" applyFill="1" applyBorder="1" applyAlignment="1">
      <alignment horizontal="center"/>
    </xf>
    <xf numFmtId="164" fontId="0" fillId="4" borderId="7" xfId="0" applyNumberFormat="1" applyFont="1" applyFill="1" applyBorder="1" applyAlignment="1">
      <alignment horizontal="center"/>
    </xf>
    <xf numFmtId="164" fontId="0" fillId="4" borderId="17" xfId="0" applyNumberFormat="1" applyFont="1" applyFill="1" applyBorder="1" applyAlignment="1">
      <alignment horizontal="center"/>
    </xf>
    <xf numFmtId="166" fontId="0" fillId="4" borderId="2" xfId="0" applyNumberFormat="1" applyFont="1" applyFill="1" applyBorder="1" applyAlignment="1">
      <alignment horizontal="center"/>
    </xf>
    <xf numFmtId="166" fontId="0" fillId="4" borderId="4" xfId="0" applyNumberFormat="1" applyFont="1" applyFill="1" applyBorder="1" applyAlignment="1">
      <alignment horizontal="center"/>
    </xf>
    <xf numFmtId="166" fontId="0" fillId="4" borderId="5" xfId="0" applyNumberFormat="1" applyFont="1" applyFill="1" applyBorder="1" applyAlignment="1">
      <alignment horizontal="center"/>
    </xf>
    <xf numFmtId="166" fontId="0" fillId="4" borderId="6" xfId="0" applyNumberFormat="1" applyFont="1" applyFill="1" applyBorder="1" applyAlignment="1">
      <alignment horizontal="center"/>
    </xf>
    <xf numFmtId="164" fontId="0" fillId="4" borderId="9" xfId="0" applyNumberFormat="1" applyFont="1" applyFill="1" applyBorder="1" applyAlignment="1">
      <alignment horizontal="center"/>
    </xf>
    <xf numFmtId="166" fontId="0" fillId="4" borderId="41" xfId="0" applyNumberFormat="1" applyFont="1" applyFill="1" applyBorder="1" applyAlignment="1">
      <alignment horizontal="center"/>
    </xf>
    <xf numFmtId="166" fontId="0" fillId="4" borderId="11" xfId="0" applyNumberFormat="1" applyFont="1" applyFill="1" applyBorder="1" applyAlignment="1">
      <alignment horizontal="center"/>
    </xf>
    <xf numFmtId="166" fontId="0" fillId="4" borderId="7" xfId="0" applyNumberFormat="1" applyFont="1" applyFill="1" applyBorder="1" applyAlignment="1">
      <alignment horizontal="center"/>
    </xf>
    <xf numFmtId="166" fontId="0" fillId="4" borderId="9" xfId="0" applyNumberFormat="1" applyFont="1" applyFill="1" applyBorder="1" applyAlignment="1">
      <alignment horizontal="center"/>
    </xf>
    <xf numFmtId="164" fontId="0" fillId="4" borderId="4" xfId="0" applyNumberFormat="1" applyFont="1" applyFill="1" applyBorder="1" applyAlignment="1">
      <alignment horizontal="center"/>
    </xf>
    <xf numFmtId="9" fontId="6" fillId="4" borderId="39" xfId="0" applyNumberFormat="1" applyFont="1" applyFill="1" applyBorder="1" applyAlignment="1">
      <alignment horizontal="center" vertical="center"/>
    </xf>
    <xf numFmtId="9" fontId="6" fillId="4" borderId="32" xfId="0" applyNumberFormat="1" applyFont="1" applyFill="1" applyBorder="1" applyAlignment="1">
      <alignment horizontal="center" vertical="center"/>
    </xf>
    <xf numFmtId="9" fontId="6" fillId="4" borderId="18" xfId="0" applyNumberFormat="1" applyFont="1" applyFill="1" applyBorder="1" applyAlignment="1">
      <alignment horizontal="center" vertical="center"/>
    </xf>
    <xf numFmtId="9" fontId="6" fillId="4" borderId="31" xfId="0" applyNumberFormat="1" applyFont="1" applyFill="1" applyBorder="1" applyAlignment="1">
      <alignment horizontal="center" vertical="center"/>
    </xf>
    <xf numFmtId="49" fontId="0" fillId="4" borderId="6" xfId="0" applyNumberFormat="1" applyFont="1" applyFill="1" applyBorder="1" applyAlignment="1">
      <alignment horizontal="center"/>
    </xf>
    <xf numFmtId="164" fontId="6" fillId="4" borderId="42" xfId="0" applyNumberFormat="1" applyFont="1" applyFill="1" applyBorder="1" applyAlignment="1">
      <alignment horizontal="center"/>
    </xf>
    <xf numFmtId="49" fontId="0" fillId="4" borderId="38" xfId="0" applyNumberFormat="1" applyFont="1" applyFill="1" applyBorder="1" applyAlignment="1">
      <alignment horizontal="center"/>
    </xf>
    <xf numFmtId="0" fontId="0" fillId="0" borderId="20" xfId="0" applyFont="1" applyBorder="1" applyAlignment="1">
      <alignment horizontal="left" vertical="center"/>
    </xf>
    <xf numFmtId="0" fontId="0" fillId="0" borderId="26" xfId="0" applyFont="1" applyBorder="1" applyAlignment="1">
      <alignment horizontal="left" vertical="center"/>
    </xf>
    <xf numFmtId="0" fontId="0" fillId="0" borderId="14" xfId="0" applyFont="1" applyBorder="1" applyAlignment="1">
      <alignment horizontal="left" vertical="center"/>
    </xf>
    <xf numFmtId="165" fontId="0" fillId="4" borderId="21" xfId="0" applyNumberFormat="1" applyFill="1" applyBorder="1" applyAlignment="1">
      <alignment horizontal="center" vertical="center"/>
    </xf>
    <xf numFmtId="165" fontId="0" fillId="4" borderId="28" xfId="0" applyNumberFormat="1" applyFill="1" applyBorder="1" applyAlignment="1">
      <alignment horizontal="center" vertical="center"/>
    </xf>
    <xf numFmtId="165" fontId="0" fillId="4" borderId="22" xfId="0" applyNumberFormat="1" applyFill="1" applyBorder="1" applyAlignment="1">
      <alignment horizontal="center" vertical="center"/>
    </xf>
    <xf numFmtId="0" fontId="0" fillId="4" borderId="37"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15" xfId="0" applyFont="1" applyFill="1" applyBorder="1" applyAlignment="1">
      <alignment horizontal="center" vertical="center" wrapText="1"/>
    </xf>
    <xf numFmtId="165" fontId="0" fillId="4" borderId="21" xfId="0" applyNumberFormat="1" applyFont="1" applyFill="1" applyBorder="1" applyAlignment="1">
      <alignment horizontal="center" vertical="center"/>
    </xf>
    <xf numFmtId="165" fontId="0" fillId="4" borderId="28"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13" fillId="0" borderId="12" xfId="0" applyFont="1" applyBorder="1" applyAlignment="1">
      <alignment horizontal="left" vertical="center" wrapText="1"/>
    </xf>
    <xf numFmtId="0" fontId="12" fillId="9" borderId="43" xfId="0" applyFont="1" applyFill="1" applyBorder="1" applyAlignment="1">
      <alignment horizontal="center" vertical="center"/>
    </xf>
    <xf numFmtId="0" fontId="12" fillId="9" borderId="0" xfId="0" applyFont="1" applyFill="1" applyBorder="1" applyAlignment="1">
      <alignment horizontal="center" vertical="center"/>
    </xf>
    <xf numFmtId="0" fontId="12" fillId="9" borderId="33" xfId="0" applyFont="1" applyFill="1" applyBorder="1" applyAlignment="1">
      <alignment horizontal="center" vertical="center"/>
    </xf>
    <xf numFmtId="0" fontId="9" fillId="5" borderId="34" xfId="0" applyFont="1" applyFill="1" applyBorder="1" applyAlignment="1">
      <alignment horizontal="left"/>
    </xf>
    <xf numFmtId="0" fontId="9" fillId="5" borderId="35" xfId="0" applyFont="1" applyFill="1" applyBorder="1" applyAlignment="1">
      <alignment horizontal="left"/>
    </xf>
    <xf numFmtId="0" fontId="9" fillId="5" borderId="23" xfId="0" applyFont="1" applyFill="1" applyBorder="1" applyAlignment="1">
      <alignment horizontal="left"/>
    </xf>
    <xf numFmtId="0" fontId="1" fillId="2" borderId="34" xfId="0" applyFont="1" applyFill="1" applyBorder="1" applyAlignment="1">
      <alignment horizontal="left" wrapText="1"/>
    </xf>
    <xf numFmtId="0" fontId="1" fillId="2" borderId="35" xfId="0" applyFont="1" applyFill="1" applyBorder="1" applyAlignment="1">
      <alignment horizontal="left" wrapText="1"/>
    </xf>
    <xf numFmtId="0" fontId="1" fillId="2" borderId="23" xfId="0" applyFont="1" applyFill="1" applyBorder="1" applyAlignment="1">
      <alignment horizontal="left" wrapText="1"/>
    </xf>
    <xf numFmtId="0" fontId="2" fillId="6" borderId="2"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4" xfId="0" applyFont="1" applyFill="1" applyBorder="1" applyAlignment="1">
      <alignment horizontal="center" vertical="center"/>
    </xf>
    <xf numFmtId="0" fontId="2" fillId="6" borderId="44" xfId="0" applyFont="1" applyFill="1" applyBorder="1" applyAlignment="1">
      <alignment horizontal="center" vertical="center" wrapText="1"/>
    </xf>
    <xf numFmtId="0" fontId="2" fillId="6" borderId="17" xfId="0" applyFont="1" applyFill="1" applyBorder="1" applyAlignment="1">
      <alignment horizontal="center" vertical="center" wrapText="1"/>
    </xf>
  </cellXfs>
  <cellStyles count="1259">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xfId="289" builtinId="8" hidden="1"/>
    <cellStyle name="Lien hypertexte" xfId="291" builtinId="8" hidden="1"/>
    <cellStyle name="Lien hypertexte" xfId="293" builtinId="8" hidden="1"/>
    <cellStyle name="Lien hypertexte" xfId="295" builtinId="8" hidden="1"/>
    <cellStyle name="Lien hypertexte" xfId="297" builtinId="8" hidden="1"/>
    <cellStyle name="Lien hypertexte" xfId="299" builtinId="8" hidden="1"/>
    <cellStyle name="Lien hypertexte" xfId="301" builtinId="8" hidden="1"/>
    <cellStyle name="Lien hypertexte" xfId="303" builtinId="8" hidden="1"/>
    <cellStyle name="Lien hypertexte" xfId="305" builtinId="8" hidden="1"/>
    <cellStyle name="Lien hypertexte" xfId="307" builtinId="8" hidden="1"/>
    <cellStyle name="Lien hypertexte" xfId="309" builtinId="8" hidden="1"/>
    <cellStyle name="Lien hypertexte" xfId="311" builtinId="8" hidden="1"/>
    <cellStyle name="Lien hypertexte" xfId="313" builtinId="8" hidden="1"/>
    <cellStyle name="Lien hypertexte" xfId="315" builtinId="8" hidden="1"/>
    <cellStyle name="Lien hypertexte" xfId="317" builtinId="8" hidden="1"/>
    <cellStyle name="Lien hypertexte" xfId="319" builtinId="8" hidden="1"/>
    <cellStyle name="Lien hypertexte" xfId="321" builtinId="8" hidden="1"/>
    <cellStyle name="Lien hypertexte" xfId="323" builtinId="8" hidden="1"/>
    <cellStyle name="Lien hypertexte" xfId="325" builtinId="8" hidden="1"/>
    <cellStyle name="Lien hypertexte" xfId="327" builtinId="8" hidden="1"/>
    <cellStyle name="Lien hypertexte" xfId="329" builtinId="8" hidden="1"/>
    <cellStyle name="Lien hypertexte" xfId="331" builtinId="8" hidden="1"/>
    <cellStyle name="Lien hypertexte" xfId="333" builtinId="8" hidden="1"/>
    <cellStyle name="Lien hypertexte" xfId="335" builtinId="8" hidden="1"/>
    <cellStyle name="Lien hypertexte" xfId="337" builtinId="8" hidden="1"/>
    <cellStyle name="Lien hypertexte" xfId="339" builtinId="8" hidden="1"/>
    <cellStyle name="Lien hypertexte" xfId="341" builtinId="8" hidden="1"/>
    <cellStyle name="Lien hypertexte" xfId="343" builtinId="8" hidden="1"/>
    <cellStyle name="Lien hypertexte" xfId="345" builtinId="8" hidden="1"/>
    <cellStyle name="Lien hypertexte" xfId="347" builtinId="8" hidden="1"/>
    <cellStyle name="Lien hypertexte" xfId="349" builtinId="8" hidden="1"/>
    <cellStyle name="Lien hypertexte" xfId="351"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xfId="367" builtinId="8" hidden="1"/>
    <cellStyle name="Lien hypertexte" xfId="369" builtinId="8" hidden="1"/>
    <cellStyle name="Lien hypertexte" xfId="371" builtinId="8" hidden="1"/>
    <cellStyle name="Lien hypertexte" xfId="373" builtinId="8" hidden="1"/>
    <cellStyle name="Lien hypertexte" xfId="375" builtinId="8" hidden="1"/>
    <cellStyle name="Lien hypertexte" xfId="377" builtinId="8" hidden="1"/>
    <cellStyle name="Lien hypertexte" xfId="379" builtinId="8" hidden="1"/>
    <cellStyle name="Lien hypertexte" xfId="381" builtinId="8" hidden="1"/>
    <cellStyle name="Lien hypertexte" xfId="383" builtinId="8" hidden="1"/>
    <cellStyle name="Lien hypertexte" xfId="385" builtinId="8" hidden="1"/>
    <cellStyle name="Lien hypertexte" xfId="387" builtinId="8" hidden="1"/>
    <cellStyle name="Lien hypertexte" xfId="389" builtinId="8" hidden="1"/>
    <cellStyle name="Lien hypertexte" xfId="391" builtinId="8" hidden="1"/>
    <cellStyle name="Lien hypertexte" xfId="393" builtinId="8" hidden="1"/>
    <cellStyle name="Lien hypertexte" xfId="395" builtinId="8" hidden="1"/>
    <cellStyle name="Lien hypertexte" xfId="397" builtinId="8" hidden="1"/>
    <cellStyle name="Lien hypertexte" xfId="399" builtinId="8" hidden="1"/>
    <cellStyle name="Lien hypertexte" xfId="401" builtinId="8" hidden="1"/>
    <cellStyle name="Lien hypertexte" xfId="403" builtinId="8" hidden="1"/>
    <cellStyle name="Lien hypertexte" xfId="405" builtinId="8" hidden="1"/>
    <cellStyle name="Lien hypertexte" xfId="407" builtinId="8" hidden="1"/>
    <cellStyle name="Lien hypertexte" xfId="409" builtinId="8" hidden="1"/>
    <cellStyle name="Lien hypertexte" xfId="411" builtinId="8" hidden="1"/>
    <cellStyle name="Lien hypertexte" xfId="413" builtinId="8" hidden="1"/>
    <cellStyle name="Lien hypertexte" xfId="415" builtinId="8" hidden="1"/>
    <cellStyle name="Lien hypertexte" xfId="417" builtinId="8" hidden="1"/>
    <cellStyle name="Lien hypertexte" xfId="419" builtinId="8" hidden="1"/>
    <cellStyle name="Lien hypertexte" xfId="421" builtinId="8" hidden="1"/>
    <cellStyle name="Lien hypertexte" xfId="423" builtinId="8" hidden="1"/>
    <cellStyle name="Lien hypertexte" xfId="425" builtinId="8" hidden="1"/>
    <cellStyle name="Lien hypertexte" xfId="427" builtinId="8" hidden="1"/>
    <cellStyle name="Lien hypertexte" xfId="429" builtinId="8" hidden="1"/>
    <cellStyle name="Lien hypertexte" xfId="431" builtinId="8" hidden="1"/>
    <cellStyle name="Lien hypertexte" xfId="433" builtinId="8" hidden="1"/>
    <cellStyle name="Lien hypertexte" xfId="435" builtinId="8" hidden="1"/>
    <cellStyle name="Lien hypertexte" xfId="437" builtinId="8" hidden="1"/>
    <cellStyle name="Lien hypertexte" xfId="439" builtinId="8" hidden="1"/>
    <cellStyle name="Lien hypertexte" xfId="441" builtinId="8" hidden="1"/>
    <cellStyle name="Lien hypertexte" xfId="443" builtinId="8" hidden="1"/>
    <cellStyle name="Lien hypertexte" xfId="445" builtinId="8" hidden="1"/>
    <cellStyle name="Lien hypertexte" xfId="447" builtinId="8" hidden="1"/>
    <cellStyle name="Lien hypertexte" xfId="449" builtinId="8" hidden="1"/>
    <cellStyle name="Lien hypertexte" xfId="451" builtinId="8" hidden="1"/>
    <cellStyle name="Lien hypertexte" xfId="453" builtinId="8" hidden="1"/>
    <cellStyle name="Lien hypertexte" xfId="455" builtinId="8" hidden="1"/>
    <cellStyle name="Lien hypertexte" xfId="457" builtinId="8" hidden="1"/>
    <cellStyle name="Lien hypertexte" xfId="459" builtinId="8" hidden="1"/>
    <cellStyle name="Lien hypertexte" xfId="461" builtinId="8" hidden="1"/>
    <cellStyle name="Lien hypertexte" xfId="463" builtinId="8" hidden="1"/>
    <cellStyle name="Lien hypertexte" xfId="465" builtinId="8" hidden="1"/>
    <cellStyle name="Lien hypertexte" xfId="467" builtinId="8" hidden="1"/>
    <cellStyle name="Lien hypertexte" xfId="469" builtinId="8" hidden="1"/>
    <cellStyle name="Lien hypertexte" xfId="471" builtinId="8" hidden="1"/>
    <cellStyle name="Lien hypertexte" xfId="473" builtinId="8" hidden="1"/>
    <cellStyle name="Lien hypertexte" xfId="475" builtinId="8" hidden="1"/>
    <cellStyle name="Lien hypertexte" xfId="477" builtinId="8" hidden="1"/>
    <cellStyle name="Lien hypertexte" xfId="479" builtinId="8" hidden="1"/>
    <cellStyle name="Lien hypertexte" xfId="481" builtinId="8" hidden="1"/>
    <cellStyle name="Lien hypertexte" xfId="483" builtinId="8" hidden="1"/>
    <cellStyle name="Lien hypertexte" xfId="485" builtinId="8" hidden="1"/>
    <cellStyle name="Lien hypertexte" xfId="487" builtinId="8" hidden="1"/>
    <cellStyle name="Lien hypertexte" xfId="489" builtinId="8" hidden="1"/>
    <cellStyle name="Lien hypertexte" xfId="491" builtinId="8" hidden="1"/>
    <cellStyle name="Lien hypertexte" xfId="493" builtinId="8" hidden="1"/>
    <cellStyle name="Lien hypertexte" xfId="495" builtinId="8" hidden="1"/>
    <cellStyle name="Lien hypertexte" xfId="497" builtinId="8" hidden="1"/>
    <cellStyle name="Lien hypertexte" xfId="499" builtinId="8" hidden="1"/>
    <cellStyle name="Lien hypertexte" xfId="501" builtinId="8" hidden="1"/>
    <cellStyle name="Lien hypertexte" xfId="503" builtinId="8" hidden="1"/>
    <cellStyle name="Lien hypertexte" xfId="505" builtinId="8" hidden="1"/>
    <cellStyle name="Lien hypertexte" xfId="507" builtinId="8" hidden="1"/>
    <cellStyle name="Lien hypertexte" xfId="509" builtinId="8" hidden="1"/>
    <cellStyle name="Lien hypertexte" xfId="511" builtinId="8" hidden="1"/>
    <cellStyle name="Lien hypertexte" xfId="513" builtinId="8" hidden="1"/>
    <cellStyle name="Lien hypertexte" xfId="515" builtinId="8" hidden="1"/>
    <cellStyle name="Lien hypertexte" xfId="517" builtinId="8" hidden="1"/>
    <cellStyle name="Lien hypertexte" xfId="519" builtinId="8" hidden="1"/>
    <cellStyle name="Lien hypertexte" xfId="521" builtinId="8" hidden="1"/>
    <cellStyle name="Lien hypertexte" xfId="523" builtinId="8" hidden="1"/>
    <cellStyle name="Lien hypertexte" xfId="525" builtinId="8" hidden="1"/>
    <cellStyle name="Lien hypertexte" xfId="527" builtinId="8" hidden="1"/>
    <cellStyle name="Lien hypertexte" xfId="529" builtinId="8" hidden="1"/>
    <cellStyle name="Lien hypertexte" xfId="531" builtinId="8" hidden="1"/>
    <cellStyle name="Lien hypertexte" xfId="533" builtinId="8" hidden="1"/>
    <cellStyle name="Lien hypertexte" xfId="535" builtinId="8" hidden="1"/>
    <cellStyle name="Lien hypertexte" xfId="537" builtinId="8" hidden="1"/>
    <cellStyle name="Lien hypertexte" xfId="539" builtinId="8" hidden="1"/>
    <cellStyle name="Lien hypertexte" xfId="541" builtinId="8" hidden="1"/>
    <cellStyle name="Lien hypertexte" xfId="543" builtinId="8" hidden="1"/>
    <cellStyle name="Lien hypertexte" xfId="545" builtinId="8" hidden="1"/>
    <cellStyle name="Lien hypertexte" xfId="547" builtinId="8" hidden="1"/>
    <cellStyle name="Lien hypertexte" xfId="549" builtinId="8" hidden="1"/>
    <cellStyle name="Lien hypertexte" xfId="551" builtinId="8" hidden="1"/>
    <cellStyle name="Lien hypertexte" xfId="553" builtinId="8" hidden="1"/>
    <cellStyle name="Lien hypertexte" xfId="555" builtinId="8" hidden="1"/>
    <cellStyle name="Lien hypertexte" xfId="557" builtinId="8" hidden="1"/>
    <cellStyle name="Lien hypertexte" xfId="559" builtinId="8" hidden="1"/>
    <cellStyle name="Lien hypertexte" xfId="561" builtinId="8" hidden="1"/>
    <cellStyle name="Lien hypertexte" xfId="563" builtinId="8" hidden="1"/>
    <cellStyle name="Lien hypertexte" xfId="565" builtinId="8" hidden="1"/>
    <cellStyle name="Lien hypertexte" xfId="567" builtinId="8" hidden="1"/>
    <cellStyle name="Lien hypertexte" xfId="569" builtinId="8" hidden="1"/>
    <cellStyle name="Lien hypertexte" xfId="571" builtinId="8" hidden="1"/>
    <cellStyle name="Lien hypertexte" xfId="573" builtinId="8" hidden="1"/>
    <cellStyle name="Lien hypertexte" xfId="575" builtinId="8" hidden="1"/>
    <cellStyle name="Lien hypertexte" xfId="577" builtinId="8" hidden="1"/>
    <cellStyle name="Lien hypertexte" xfId="579" builtinId="8" hidden="1"/>
    <cellStyle name="Lien hypertexte" xfId="581" builtinId="8" hidden="1"/>
    <cellStyle name="Lien hypertexte" xfId="583" builtinId="8" hidden="1"/>
    <cellStyle name="Lien hypertexte" xfId="585" builtinId="8" hidden="1"/>
    <cellStyle name="Lien hypertexte" xfId="587" builtinId="8" hidden="1"/>
    <cellStyle name="Lien hypertexte" xfId="589" builtinId="8" hidden="1"/>
    <cellStyle name="Lien hypertexte" xfId="591" builtinId="8" hidden="1"/>
    <cellStyle name="Lien hypertexte" xfId="593" builtinId="8" hidden="1"/>
    <cellStyle name="Lien hypertexte" xfId="595" builtinId="8" hidden="1"/>
    <cellStyle name="Lien hypertexte" xfId="597" builtinId="8" hidden="1"/>
    <cellStyle name="Lien hypertexte" xfId="599" builtinId="8" hidden="1"/>
    <cellStyle name="Lien hypertexte" xfId="601" builtinId="8" hidden="1"/>
    <cellStyle name="Lien hypertexte" xfId="603" builtinId="8" hidden="1"/>
    <cellStyle name="Lien hypertexte" xfId="605" builtinId="8" hidden="1"/>
    <cellStyle name="Lien hypertexte" xfId="607" builtinId="8" hidden="1"/>
    <cellStyle name="Lien hypertexte" xfId="609" builtinId="8" hidden="1"/>
    <cellStyle name="Lien hypertexte" xfId="611" builtinId="8" hidden="1"/>
    <cellStyle name="Lien hypertexte" xfId="613" builtinId="8" hidden="1"/>
    <cellStyle name="Lien hypertexte" xfId="615" builtinId="8" hidden="1"/>
    <cellStyle name="Lien hypertexte" xfId="617" builtinId="8" hidden="1"/>
    <cellStyle name="Lien hypertexte" xfId="619" builtinId="8" hidden="1"/>
    <cellStyle name="Lien hypertexte" xfId="621" builtinId="8" hidden="1"/>
    <cellStyle name="Lien hypertexte" xfId="623" builtinId="8" hidden="1"/>
    <cellStyle name="Lien hypertexte" xfId="625" builtinId="8" hidden="1"/>
    <cellStyle name="Lien hypertexte" xfId="627" builtinId="8" hidden="1"/>
    <cellStyle name="Lien hypertexte" xfId="629" builtinId="8" hidden="1"/>
    <cellStyle name="Lien hypertexte" xfId="631" builtinId="8" hidden="1"/>
    <cellStyle name="Lien hypertexte" xfId="633" builtinId="8" hidden="1"/>
    <cellStyle name="Lien hypertexte" xfId="635" builtinId="8" hidden="1"/>
    <cellStyle name="Lien hypertexte" xfId="637" builtinId="8" hidden="1"/>
    <cellStyle name="Lien hypertexte" xfId="639" builtinId="8" hidden="1"/>
    <cellStyle name="Lien hypertexte" xfId="641" builtinId="8" hidden="1"/>
    <cellStyle name="Lien hypertexte" xfId="643" builtinId="8" hidden="1"/>
    <cellStyle name="Lien hypertexte" xfId="645" builtinId="8" hidden="1"/>
    <cellStyle name="Lien hypertexte" xfId="647" builtinId="8" hidden="1"/>
    <cellStyle name="Lien hypertexte" xfId="649" builtinId="8" hidden="1"/>
    <cellStyle name="Lien hypertexte" xfId="651" builtinId="8" hidden="1"/>
    <cellStyle name="Lien hypertexte" xfId="653" builtinId="8" hidden="1"/>
    <cellStyle name="Lien hypertexte" xfId="655" builtinId="8" hidden="1"/>
    <cellStyle name="Lien hypertexte" xfId="657" builtinId="8" hidden="1"/>
    <cellStyle name="Lien hypertexte" xfId="659" builtinId="8" hidden="1"/>
    <cellStyle name="Lien hypertexte" xfId="661" builtinId="8" hidden="1"/>
    <cellStyle name="Lien hypertexte" xfId="663" builtinId="8" hidden="1"/>
    <cellStyle name="Lien hypertexte" xfId="665" builtinId="8" hidden="1"/>
    <cellStyle name="Lien hypertexte" xfId="667" builtinId="8" hidden="1"/>
    <cellStyle name="Lien hypertexte" xfId="669" builtinId="8" hidden="1"/>
    <cellStyle name="Lien hypertexte" xfId="671" builtinId="8" hidden="1"/>
    <cellStyle name="Lien hypertexte" xfId="673" builtinId="8" hidden="1"/>
    <cellStyle name="Lien hypertexte" xfId="675" builtinId="8" hidden="1"/>
    <cellStyle name="Lien hypertexte" xfId="677" builtinId="8" hidden="1"/>
    <cellStyle name="Lien hypertexte" xfId="679" builtinId="8" hidden="1"/>
    <cellStyle name="Lien hypertexte" xfId="681" builtinId="8" hidden="1"/>
    <cellStyle name="Lien hypertexte" xfId="683" builtinId="8" hidden="1"/>
    <cellStyle name="Lien hypertexte" xfId="685" builtinId="8" hidden="1"/>
    <cellStyle name="Lien hypertexte" xfId="687" builtinId="8" hidden="1"/>
    <cellStyle name="Lien hypertexte" xfId="689" builtinId="8" hidden="1"/>
    <cellStyle name="Lien hypertexte" xfId="691" builtinId="8" hidden="1"/>
    <cellStyle name="Lien hypertexte" xfId="693" builtinId="8" hidden="1"/>
    <cellStyle name="Lien hypertexte" xfId="695" builtinId="8" hidden="1"/>
    <cellStyle name="Lien hypertexte" xfId="697" builtinId="8" hidden="1"/>
    <cellStyle name="Lien hypertexte" xfId="699" builtinId="8" hidden="1"/>
    <cellStyle name="Lien hypertexte" xfId="701" builtinId="8" hidden="1"/>
    <cellStyle name="Lien hypertexte" xfId="703" builtinId="8" hidden="1"/>
    <cellStyle name="Lien hypertexte" xfId="705" builtinId="8" hidden="1"/>
    <cellStyle name="Lien hypertexte" xfId="707" builtinId="8" hidden="1"/>
    <cellStyle name="Lien hypertexte" xfId="709" builtinId="8" hidden="1"/>
    <cellStyle name="Lien hypertexte" xfId="711" builtinId="8" hidden="1"/>
    <cellStyle name="Lien hypertexte" xfId="713" builtinId="8" hidden="1"/>
    <cellStyle name="Lien hypertexte" xfId="715" builtinId="8" hidden="1"/>
    <cellStyle name="Lien hypertexte" xfId="717" builtinId="8" hidden="1"/>
    <cellStyle name="Lien hypertexte" xfId="719" builtinId="8" hidden="1"/>
    <cellStyle name="Lien hypertexte" xfId="721" builtinId="8" hidden="1"/>
    <cellStyle name="Lien hypertexte" xfId="723" builtinId="8" hidden="1"/>
    <cellStyle name="Lien hypertexte" xfId="725" builtinId="8" hidden="1"/>
    <cellStyle name="Lien hypertexte" xfId="727" builtinId="8" hidden="1"/>
    <cellStyle name="Lien hypertexte" xfId="729" builtinId="8" hidden="1"/>
    <cellStyle name="Lien hypertexte" xfId="731" builtinId="8" hidden="1"/>
    <cellStyle name="Lien hypertexte" xfId="733" builtinId="8" hidden="1"/>
    <cellStyle name="Lien hypertexte" xfId="735" builtinId="8" hidden="1"/>
    <cellStyle name="Lien hypertexte" xfId="737" builtinId="8" hidden="1"/>
    <cellStyle name="Lien hypertexte" xfId="739" builtinId="8" hidden="1"/>
    <cellStyle name="Lien hypertexte" xfId="741" builtinId="8" hidden="1"/>
    <cellStyle name="Lien hypertexte" xfId="743" builtinId="8" hidden="1"/>
    <cellStyle name="Lien hypertexte" xfId="745" builtinId="8" hidden="1"/>
    <cellStyle name="Lien hypertexte" xfId="747" builtinId="8" hidden="1"/>
    <cellStyle name="Lien hypertexte" xfId="749" builtinId="8" hidden="1"/>
    <cellStyle name="Lien hypertexte" xfId="751" builtinId="8" hidden="1"/>
    <cellStyle name="Lien hypertexte" xfId="753" builtinId="8" hidden="1"/>
    <cellStyle name="Lien hypertexte" xfId="755" builtinId="8" hidden="1"/>
    <cellStyle name="Lien hypertexte" xfId="757" builtinId="8" hidden="1"/>
    <cellStyle name="Lien hypertexte" xfId="759" builtinId="8" hidden="1"/>
    <cellStyle name="Lien hypertexte" xfId="761" builtinId="8" hidden="1"/>
    <cellStyle name="Lien hypertexte" xfId="763" builtinId="8" hidden="1"/>
    <cellStyle name="Lien hypertexte" xfId="765" builtinId="8" hidden="1"/>
    <cellStyle name="Lien hypertexte" xfId="767" builtinId="8" hidden="1"/>
    <cellStyle name="Lien hypertexte" xfId="769" builtinId="8" hidden="1"/>
    <cellStyle name="Lien hypertexte" xfId="771" builtinId="8" hidden="1"/>
    <cellStyle name="Lien hypertexte" xfId="773" builtinId="8" hidden="1"/>
    <cellStyle name="Lien hypertexte" xfId="775" builtinId="8" hidden="1"/>
    <cellStyle name="Lien hypertexte" xfId="777" builtinId="8" hidden="1"/>
    <cellStyle name="Lien hypertexte" xfId="779" builtinId="8" hidden="1"/>
    <cellStyle name="Lien hypertexte" xfId="781" builtinId="8" hidden="1"/>
    <cellStyle name="Lien hypertexte" xfId="783" builtinId="8" hidden="1"/>
    <cellStyle name="Lien hypertexte" xfId="785" builtinId="8" hidden="1"/>
    <cellStyle name="Lien hypertexte" xfId="787" builtinId="8" hidden="1"/>
    <cellStyle name="Lien hypertexte" xfId="789" builtinId="8" hidden="1"/>
    <cellStyle name="Lien hypertexte" xfId="791" builtinId="8" hidden="1"/>
    <cellStyle name="Lien hypertexte" xfId="793" builtinId="8" hidden="1"/>
    <cellStyle name="Lien hypertexte" xfId="795" builtinId="8" hidden="1"/>
    <cellStyle name="Lien hypertexte" xfId="797" builtinId="8" hidden="1"/>
    <cellStyle name="Lien hypertexte" xfId="799" builtinId="8" hidden="1"/>
    <cellStyle name="Lien hypertexte" xfId="801" builtinId="8" hidden="1"/>
    <cellStyle name="Lien hypertexte" xfId="803" builtinId="8" hidden="1"/>
    <cellStyle name="Lien hypertexte" xfId="805" builtinId="8" hidden="1"/>
    <cellStyle name="Lien hypertexte" xfId="807" builtinId="8" hidden="1"/>
    <cellStyle name="Lien hypertexte" xfId="809" builtinId="8" hidden="1"/>
    <cellStyle name="Lien hypertexte" xfId="811" builtinId="8" hidden="1"/>
    <cellStyle name="Lien hypertexte" xfId="813" builtinId="8" hidden="1"/>
    <cellStyle name="Lien hypertexte" xfId="815" builtinId="8" hidden="1"/>
    <cellStyle name="Lien hypertexte" xfId="817" builtinId="8" hidden="1"/>
    <cellStyle name="Lien hypertexte" xfId="819" builtinId="8" hidden="1"/>
    <cellStyle name="Lien hypertexte" xfId="821" builtinId="8" hidden="1"/>
    <cellStyle name="Lien hypertexte" xfId="823" builtinId="8" hidden="1"/>
    <cellStyle name="Lien hypertexte" xfId="825" builtinId="8" hidden="1"/>
    <cellStyle name="Lien hypertexte" xfId="827" builtinId="8" hidden="1"/>
    <cellStyle name="Lien hypertexte" xfId="829" builtinId="8" hidden="1"/>
    <cellStyle name="Lien hypertexte" xfId="831" builtinId="8" hidden="1"/>
    <cellStyle name="Lien hypertexte" xfId="833" builtinId="8" hidden="1"/>
    <cellStyle name="Lien hypertexte" xfId="835" builtinId="8" hidden="1"/>
    <cellStyle name="Lien hypertexte" xfId="837" builtinId="8" hidden="1"/>
    <cellStyle name="Lien hypertexte" xfId="839" builtinId="8" hidden="1"/>
    <cellStyle name="Lien hypertexte" xfId="841" builtinId="8" hidden="1"/>
    <cellStyle name="Lien hypertexte" xfId="843" builtinId="8" hidden="1"/>
    <cellStyle name="Lien hypertexte" xfId="845" builtinId="8" hidden="1"/>
    <cellStyle name="Lien hypertexte" xfId="847" builtinId="8" hidden="1"/>
    <cellStyle name="Lien hypertexte" xfId="849" builtinId="8" hidden="1"/>
    <cellStyle name="Lien hypertexte" xfId="851" builtinId="8" hidden="1"/>
    <cellStyle name="Lien hypertexte" xfId="853" builtinId="8" hidden="1"/>
    <cellStyle name="Lien hypertexte" xfId="855" builtinId="8" hidden="1"/>
    <cellStyle name="Lien hypertexte" xfId="857" builtinId="8" hidden="1"/>
    <cellStyle name="Lien hypertexte" xfId="859" builtinId="8" hidden="1"/>
    <cellStyle name="Lien hypertexte" xfId="861" builtinId="8" hidden="1"/>
    <cellStyle name="Lien hypertexte" xfId="863" builtinId="8" hidden="1"/>
    <cellStyle name="Lien hypertexte" xfId="865" builtinId="8" hidden="1"/>
    <cellStyle name="Lien hypertexte" xfId="867" builtinId="8" hidden="1"/>
    <cellStyle name="Lien hypertexte" xfId="869" builtinId="8" hidden="1"/>
    <cellStyle name="Lien hypertexte" xfId="871" builtinId="8" hidden="1"/>
    <cellStyle name="Lien hypertexte" xfId="873" builtinId="8" hidden="1"/>
    <cellStyle name="Lien hypertexte" xfId="875" builtinId="8" hidden="1"/>
    <cellStyle name="Lien hypertexte" xfId="877" builtinId="8" hidden="1"/>
    <cellStyle name="Lien hypertexte" xfId="879" builtinId="8" hidden="1"/>
    <cellStyle name="Lien hypertexte" xfId="881" builtinId="8" hidden="1"/>
    <cellStyle name="Lien hypertexte" xfId="883" builtinId="8" hidden="1"/>
    <cellStyle name="Lien hypertexte" xfId="885" builtinId="8" hidden="1"/>
    <cellStyle name="Lien hypertexte" xfId="887" builtinId="8" hidden="1"/>
    <cellStyle name="Lien hypertexte" xfId="889" builtinId="8" hidden="1"/>
    <cellStyle name="Lien hypertexte" xfId="891" builtinId="8" hidden="1"/>
    <cellStyle name="Lien hypertexte" xfId="893" builtinId="8" hidden="1"/>
    <cellStyle name="Lien hypertexte" xfId="895" builtinId="8" hidden="1"/>
    <cellStyle name="Lien hypertexte" xfId="897" builtinId="8" hidden="1"/>
    <cellStyle name="Lien hypertexte" xfId="899" builtinId="8" hidden="1"/>
    <cellStyle name="Lien hypertexte" xfId="901" builtinId="8" hidden="1"/>
    <cellStyle name="Lien hypertexte" xfId="903" builtinId="8" hidden="1"/>
    <cellStyle name="Lien hypertexte" xfId="905" builtinId="8" hidden="1"/>
    <cellStyle name="Lien hypertexte" xfId="907" builtinId="8" hidden="1"/>
    <cellStyle name="Lien hypertexte" xfId="909" builtinId="8" hidden="1"/>
    <cellStyle name="Lien hypertexte" xfId="911" builtinId="8" hidden="1"/>
    <cellStyle name="Lien hypertexte" xfId="913" builtinId="8" hidden="1"/>
    <cellStyle name="Lien hypertexte" xfId="915" builtinId="8" hidden="1"/>
    <cellStyle name="Lien hypertexte" xfId="917" builtinId="8" hidden="1"/>
    <cellStyle name="Lien hypertexte" xfId="919" builtinId="8" hidden="1"/>
    <cellStyle name="Lien hypertexte" xfId="921" builtinId="8" hidden="1"/>
    <cellStyle name="Lien hypertexte" xfId="923" builtinId="8" hidden="1"/>
    <cellStyle name="Lien hypertexte" xfId="925" builtinId="8" hidden="1"/>
    <cellStyle name="Lien hypertexte" xfId="927" builtinId="8" hidden="1"/>
    <cellStyle name="Lien hypertexte" xfId="929" builtinId="8" hidden="1"/>
    <cellStyle name="Lien hypertexte" xfId="931" builtinId="8" hidden="1"/>
    <cellStyle name="Lien hypertexte" xfId="933" builtinId="8" hidden="1"/>
    <cellStyle name="Lien hypertexte" xfId="935" builtinId="8" hidden="1"/>
    <cellStyle name="Lien hypertexte" xfId="937" builtinId="8" hidden="1"/>
    <cellStyle name="Lien hypertexte" xfId="939" builtinId="8" hidden="1"/>
    <cellStyle name="Lien hypertexte" xfId="941" builtinId="8" hidden="1"/>
    <cellStyle name="Lien hypertexte" xfId="943" builtinId="8" hidden="1"/>
    <cellStyle name="Lien hypertexte" xfId="945" builtinId="8" hidden="1"/>
    <cellStyle name="Lien hypertexte" xfId="947" builtinId="8" hidden="1"/>
    <cellStyle name="Lien hypertexte" xfId="949" builtinId="8" hidden="1"/>
    <cellStyle name="Lien hypertexte" xfId="951" builtinId="8" hidden="1"/>
    <cellStyle name="Lien hypertexte" xfId="953" builtinId="8" hidden="1"/>
    <cellStyle name="Lien hypertexte" xfId="955" builtinId="8" hidden="1"/>
    <cellStyle name="Lien hypertexte" xfId="957" builtinId="8" hidden="1"/>
    <cellStyle name="Lien hypertexte" xfId="959" builtinId="8" hidden="1"/>
    <cellStyle name="Lien hypertexte" xfId="961" builtinId="8" hidden="1"/>
    <cellStyle name="Lien hypertexte" xfId="963" builtinId="8" hidden="1"/>
    <cellStyle name="Lien hypertexte" xfId="965" builtinId="8" hidden="1"/>
    <cellStyle name="Lien hypertexte" xfId="967" builtinId="8" hidden="1"/>
    <cellStyle name="Lien hypertexte" xfId="969" builtinId="8" hidden="1"/>
    <cellStyle name="Lien hypertexte" xfId="971" builtinId="8" hidden="1"/>
    <cellStyle name="Lien hypertexte" xfId="973" builtinId="8" hidden="1"/>
    <cellStyle name="Lien hypertexte" xfId="975" builtinId="8" hidden="1"/>
    <cellStyle name="Lien hypertexte" xfId="977" builtinId="8" hidden="1"/>
    <cellStyle name="Lien hypertexte" xfId="979" builtinId="8" hidden="1"/>
    <cellStyle name="Lien hypertexte" xfId="981" builtinId="8" hidden="1"/>
    <cellStyle name="Lien hypertexte" xfId="983" builtinId="8" hidden="1"/>
    <cellStyle name="Lien hypertexte" xfId="985" builtinId="8" hidden="1"/>
    <cellStyle name="Lien hypertexte" xfId="987" builtinId="8" hidden="1"/>
    <cellStyle name="Lien hypertexte" xfId="989" builtinId="8" hidden="1"/>
    <cellStyle name="Lien hypertexte" xfId="991" builtinId="8" hidden="1"/>
    <cellStyle name="Lien hypertexte" xfId="993" builtinId="8" hidden="1"/>
    <cellStyle name="Lien hypertexte" xfId="995" builtinId="8" hidden="1"/>
    <cellStyle name="Lien hypertexte" xfId="997" builtinId="8" hidden="1"/>
    <cellStyle name="Lien hypertexte" xfId="999" builtinId="8" hidden="1"/>
    <cellStyle name="Lien hypertexte" xfId="1001" builtinId="8" hidden="1"/>
    <cellStyle name="Lien hypertexte" xfId="1003" builtinId="8" hidden="1"/>
    <cellStyle name="Lien hypertexte" xfId="1005" builtinId="8" hidden="1"/>
    <cellStyle name="Lien hypertexte" xfId="1007" builtinId="8" hidden="1"/>
    <cellStyle name="Lien hypertexte" xfId="1009" builtinId="8" hidden="1"/>
    <cellStyle name="Lien hypertexte" xfId="1011" builtinId="8" hidden="1"/>
    <cellStyle name="Lien hypertexte" xfId="1013" builtinId="8" hidden="1"/>
    <cellStyle name="Lien hypertexte" xfId="1015" builtinId="8" hidden="1"/>
    <cellStyle name="Lien hypertexte" xfId="1017" builtinId="8" hidden="1"/>
    <cellStyle name="Lien hypertexte" xfId="1019" builtinId="8" hidden="1"/>
    <cellStyle name="Lien hypertexte" xfId="1021" builtinId="8" hidden="1"/>
    <cellStyle name="Lien hypertexte" xfId="1023" builtinId="8" hidden="1"/>
    <cellStyle name="Lien hypertexte" xfId="1025" builtinId="8" hidden="1"/>
    <cellStyle name="Lien hypertexte" xfId="1027" builtinId="8" hidden="1"/>
    <cellStyle name="Lien hypertexte" xfId="1029" builtinId="8" hidden="1"/>
    <cellStyle name="Lien hypertexte" xfId="1031" builtinId="8" hidden="1"/>
    <cellStyle name="Lien hypertexte" xfId="1033" builtinId="8" hidden="1"/>
    <cellStyle name="Lien hypertexte" xfId="1035" builtinId="8" hidden="1"/>
    <cellStyle name="Lien hypertexte" xfId="1037" builtinId="8" hidden="1"/>
    <cellStyle name="Lien hypertexte" xfId="1039" builtinId="8" hidden="1"/>
    <cellStyle name="Lien hypertexte" xfId="1041" builtinId="8" hidden="1"/>
    <cellStyle name="Lien hypertexte" xfId="1043" builtinId="8" hidden="1"/>
    <cellStyle name="Lien hypertexte" xfId="1045" builtinId="8" hidden="1"/>
    <cellStyle name="Lien hypertexte" xfId="1047" builtinId="8" hidden="1"/>
    <cellStyle name="Lien hypertexte" xfId="1049" builtinId="8" hidden="1"/>
    <cellStyle name="Lien hypertexte" xfId="1051" builtinId="8" hidden="1"/>
    <cellStyle name="Lien hypertexte" xfId="1053" builtinId="8" hidden="1"/>
    <cellStyle name="Lien hypertexte" xfId="1055" builtinId="8" hidden="1"/>
    <cellStyle name="Lien hypertexte" xfId="1057" builtinId="8" hidden="1"/>
    <cellStyle name="Lien hypertexte" xfId="1059" builtinId="8" hidden="1"/>
    <cellStyle name="Lien hypertexte" xfId="1061" builtinId="8" hidden="1"/>
    <cellStyle name="Lien hypertexte" xfId="1063" builtinId="8" hidden="1"/>
    <cellStyle name="Lien hypertexte" xfId="1065" builtinId="8" hidden="1"/>
    <cellStyle name="Lien hypertexte" xfId="1067" builtinId="8" hidden="1"/>
    <cellStyle name="Lien hypertexte" xfId="1069" builtinId="8" hidden="1"/>
    <cellStyle name="Lien hypertexte" xfId="1071" builtinId="8" hidden="1"/>
    <cellStyle name="Lien hypertexte" xfId="1073" builtinId="8" hidden="1"/>
    <cellStyle name="Lien hypertexte" xfId="1075" builtinId="8" hidden="1"/>
    <cellStyle name="Lien hypertexte" xfId="1077" builtinId="8" hidden="1"/>
    <cellStyle name="Lien hypertexte" xfId="1079" builtinId="8" hidden="1"/>
    <cellStyle name="Lien hypertexte" xfId="1081" builtinId="8" hidden="1"/>
    <cellStyle name="Lien hypertexte" xfId="1083" builtinId="8" hidden="1"/>
    <cellStyle name="Lien hypertexte" xfId="1085" builtinId="8" hidden="1"/>
    <cellStyle name="Lien hypertexte" xfId="1087" builtinId="8" hidden="1"/>
    <cellStyle name="Lien hypertexte" xfId="1089" builtinId="8" hidden="1"/>
    <cellStyle name="Lien hypertexte" xfId="1091" builtinId="8" hidden="1"/>
    <cellStyle name="Lien hypertexte" xfId="1093" builtinId="8" hidden="1"/>
    <cellStyle name="Lien hypertexte" xfId="1095" builtinId="8" hidden="1"/>
    <cellStyle name="Lien hypertexte" xfId="1097" builtinId="8" hidden="1"/>
    <cellStyle name="Lien hypertexte" xfId="1099" builtinId="8" hidden="1"/>
    <cellStyle name="Lien hypertexte" xfId="1101" builtinId="8" hidden="1"/>
    <cellStyle name="Lien hypertexte" xfId="1103" builtinId="8" hidden="1"/>
    <cellStyle name="Lien hypertexte" xfId="1105" builtinId="8" hidden="1"/>
    <cellStyle name="Lien hypertexte" xfId="1107" builtinId="8" hidden="1"/>
    <cellStyle name="Lien hypertexte" xfId="1109" builtinId="8" hidden="1"/>
    <cellStyle name="Lien hypertexte" xfId="1111" builtinId="8" hidden="1"/>
    <cellStyle name="Lien hypertexte" xfId="1113" builtinId="8" hidden="1"/>
    <cellStyle name="Lien hypertexte" xfId="1115" builtinId="8" hidden="1"/>
    <cellStyle name="Lien hypertexte" xfId="1117" builtinId="8" hidden="1"/>
    <cellStyle name="Lien hypertexte" xfId="1119" builtinId="8" hidden="1"/>
    <cellStyle name="Lien hypertexte" xfId="1121" builtinId="8" hidden="1"/>
    <cellStyle name="Lien hypertexte" xfId="1123" builtinId="8" hidden="1"/>
    <cellStyle name="Lien hypertexte" xfId="1125" builtinId="8" hidden="1"/>
    <cellStyle name="Lien hypertexte" xfId="1127" builtinId="8" hidden="1"/>
    <cellStyle name="Lien hypertexte" xfId="1129" builtinId="8" hidden="1"/>
    <cellStyle name="Lien hypertexte" xfId="1131" builtinId="8" hidden="1"/>
    <cellStyle name="Lien hypertexte" xfId="1133" builtinId="8" hidden="1"/>
    <cellStyle name="Lien hypertexte" xfId="1135" builtinId="8" hidden="1"/>
    <cellStyle name="Lien hypertexte" xfId="1137" builtinId="8" hidden="1"/>
    <cellStyle name="Lien hypertexte" xfId="1139" builtinId="8" hidden="1"/>
    <cellStyle name="Lien hypertexte" xfId="1141" builtinId="8" hidden="1"/>
    <cellStyle name="Lien hypertexte" xfId="1143" builtinId="8" hidden="1"/>
    <cellStyle name="Lien hypertexte" xfId="1145" builtinId="8" hidden="1"/>
    <cellStyle name="Lien hypertexte" xfId="1147" builtinId="8" hidden="1"/>
    <cellStyle name="Lien hypertexte" xfId="1149" builtinId="8" hidden="1"/>
    <cellStyle name="Lien hypertexte" xfId="1151" builtinId="8" hidden="1"/>
    <cellStyle name="Lien hypertexte" xfId="1153" builtinId="8" hidden="1"/>
    <cellStyle name="Lien hypertexte" xfId="1155" builtinId="8" hidden="1"/>
    <cellStyle name="Lien hypertexte" xfId="1157" builtinId="8" hidden="1"/>
    <cellStyle name="Lien hypertexte" xfId="1159" builtinId="8" hidden="1"/>
    <cellStyle name="Lien hypertexte" xfId="1161" builtinId="8" hidden="1"/>
    <cellStyle name="Lien hypertexte" xfId="1163" builtinId="8" hidden="1"/>
    <cellStyle name="Lien hypertexte" xfId="1165" builtinId="8" hidden="1"/>
    <cellStyle name="Lien hypertexte" xfId="1167" builtinId="8" hidden="1"/>
    <cellStyle name="Lien hypertexte" xfId="1169" builtinId="8" hidden="1"/>
    <cellStyle name="Lien hypertexte" xfId="1171" builtinId="8" hidden="1"/>
    <cellStyle name="Lien hypertexte" xfId="1173" builtinId="8" hidden="1"/>
    <cellStyle name="Lien hypertexte" xfId="1175" builtinId="8" hidden="1"/>
    <cellStyle name="Lien hypertexte" xfId="1177" builtinId="8" hidden="1"/>
    <cellStyle name="Lien hypertexte" xfId="1179" builtinId="8" hidden="1"/>
    <cellStyle name="Lien hypertexte" xfId="1181" builtinId="8" hidden="1"/>
    <cellStyle name="Lien hypertexte" xfId="1183" builtinId="8" hidden="1"/>
    <cellStyle name="Lien hypertexte" xfId="1185" builtinId="8" hidden="1"/>
    <cellStyle name="Lien hypertexte" xfId="1187" builtinId="8" hidden="1"/>
    <cellStyle name="Lien hypertexte" xfId="1189" builtinId="8" hidden="1"/>
    <cellStyle name="Lien hypertexte" xfId="1191" builtinId="8" hidden="1"/>
    <cellStyle name="Lien hypertexte" xfId="1193" builtinId="8" hidden="1"/>
    <cellStyle name="Lien hypertexte" xfId="1195" builtinId="8" hidden="1"/>
    <cellStyle name="Lien hypertexte" xfId="1197" builtinId="8" hidden="1"/>
    <cellStyle name="Lien hypertexte" xfId="1199" builtinId="8" hidden="1"/>
    <cellStyle name="Lien hypertexte" xfId="1201" builtinId="8" hidden="1"/>
    <cellStyle name="Lien hypertexte" xfId="1203" builtinId="8" hidden="1"/>
    <cellStyle name="Lien hypertexte" xfId="1205" builtinId="8" hidden="1"/>
    <cellStyle name="Lien hypertexte" xfId="1207" builtinId="8" hidden="1"/>
    <cellStyle name="Lien hypertexte" xfId="1209" builtinId="8" hidden="1"/>
    <cellStyle name="Lien hypertexte" xfId="1211" builtinId="8" hidden="1"/>
    <cellStyle name="Lien hypertexte" xfId="1213" builtinId="8" hidden="1"/>
    <cellStyle name="Lien hypertexte" xfId="1215" builtinId="8" hidden="1"/>
    <cellStyle name="Lien hypertexte" xfId="1217" builtinId="8" hidden="1"/>
    <cellStyle name="Lien hypertexte" xfId="1219" builtinId="8" hidden="1"/>
    <cellStyle name="Lien hypertexte" xfId="1221" builtinId="8" hidden="1"/>
    <cellStyle name="Lien hypertexte" xfId="1223" builtinId="8" hidden="1"/>
    <cellStyle name="Lien hypertexte" xfId="1225" builtinId="8" hidden="1"/>
    <cellStyle name="Lien hypertexte" xfId="1227" builtinId="8" hidden="1"/>
    <cellStyle name="Lien hypertexte" xfId="1229" builtinId="8" hidden="1"/>
    <cellStyle name="Lien hypertexte" xfId="1231" builtinId="8" hidden="1"/>
    <cellStyle name="Lien hypertexte" xfId="1233" builtinId="8" hidden="1"/>
    <cellStyle name="Lien hypertexte" xfId="1235" builtinId="8" hidden="1"/>
    <cellStyle name="Lien hypertexte" xfId="1237" builtinId="8" hidden="1"/>
    <cellStyle name="Lien hypertexte" xfId="1239" builtinId="8" hidden="1"/>
    <cellStyle name="Lien hypertexte" xfId="1241" builtinId="8" hidden="1"/>
    <cellStyle name="Lien hypertexte" xfId="1243" builtinId="8" hidden="1"/>
    <cellStyle name="Lien hypertexte" xfId="1245" builtinId="8" hidden="1"/>
    <cellStyle name="Lien hypertexte" xfId="1247" builtinId="8" hidden="1"/>
    <cellStyle name="Lien hypertexte" xfId="1249" builtinId="8" hidden="1"/>
    <cellStyle name="Lien hypertexte" xfId="1251" builtinId="8" hidden="1"/>
    <cellStyle name="Lien hypertexte" xfId="1253" builtinId="8" hidden="1"/>
    <cellStyle name="Lien hypertexte" xfId="1255" builtinId="8" hidden="1"/>
    <cellStyle name="Lien hypertexte" xfId="1257"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6" builtinId="9" hidden="1"/>
    <cellStyle name="Lien hypertexte visité" xfId="298" builtinId="9" hidden="1"/>
    <cellStyle name="Lien hypertexte visité" xfId="300" builtinId="9" hidden="1"/>
    <cellStyle name="Lien hypertexte visité" xfId="302" builtinId="9" hidden="1"/>
    <cellStyle name="Lien hypertexte visité" xfId="304" builtinId="9" hidden="1"/>
    <cellStyle name="Lien hypertexte visité" xfId="306" builtinId="9" hidden="1"/>
    <cellStyle name="Lien hypertexte visité" xfId="308" builtinId="9" hidden="1"/>
    <cellStyle name="Lien hypertexte visité" xfId="310" builtinId="9" hidden="1"/>
    <cellStyle name="Lien hypertexte visité" xfId="312" builtinId="9" hidden="1"/>
    <cellStyle name="Lien hypertexte visité" xfId="314" builtinId="9" hidden="1"/>
    <cellStyle name="Lien hypertexte visité" xfId="316" builtinId="9" hidden="1"/>
    <cellStyle name="Lien hypertexte visité" xfId="318" builtinId="9" hidden="1"/>
    <cellStyle name="Lien hypertexte visité" xfId="320" builtinId="9" hidden="1"/>
    <cellStyle name="Lien hypertexte visité" xfId="322" builtinId="9" hidden="1"/>
    <cellStyle name="Lien hypertexte visité" xfId="324" builtinId="9" hidden="1"/>
    <cellStyle name="Lien hypertexte visité" xfId="326" builtinId="9" hidden="1"/>
    <cellStyle name="Lien hypertexte visité" xfId="328" builtinId="9" hidden="1"/>
    <cellStyle name="Lien hypertexte visité" xfId="330" builtinId="9" hidden="1"/>
    <cellStyle name="Lien hypertexte visité" xfId="332" builtinId="9" hidden="1"/>
    <cellStyle name="Lien hypertexte visité" xfId="334" builtinId="9" hidden="1"/>
    <cellStyle name="Lien hypertexte visité" xfId="336" builtinId="9" hidden="1"/>
    <cellStyle name="Lien hypertexte visité" xfId="338" builtinId="9" hidden="1"/>
    <cellStyle name="Lien hypertexte visité" xfId="340" builtinId="9" hidden="1"/>
    <cellStyle name="Lien hypertexte visité" xfId="342" builtinId="9" hidden="1"/>
    <cellStyle name="Lien hypertexte visité" xfId="344" builtinId="9" hidden="1"/>
    <cellStyle name="Lien hypertexte visité" xfId="346" builtinId="9" hidden="1"/>
    <cellStyle name="Lien hypertexte visité" xfId="348" builtinId="9" hidden="1"/>
    <cellStyle name="Lien hypertexte visité" xfId="350" builtinId="9" hidden="1"/>
    <cellStyle name="Lien hypertexte visité" xfId="352"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Lien hypertexte visité" xfId="368" builtinId="9" hidden="1"/>
    <cellStyle name="Lien hypertexte visité" xfId="370" builtinId="9" hidden="1"/>
    <cellStyle name="Lien hypertexte visité" xfId="372" builtinId="9" hidden="1"/>
    <cellStyle name="Lien hypertexte visité" xfId="374" builtinId="9" hidden="1"/>
    <cellStyle name="Lien hypertexte visité" xfId="376" builtinId="9" hidden="1"/>
    <cellStyle name="Lien hypertexte visité" xfId="378" builtinId="9" hidden="1"/>
    <cellStyle name="Lien hypertexte visité" xfId="380" builtinId="9" hidden="1"/>
    <cellStyle name="Lien hypertexte visité" xfId="382" builtinId="9" hidden="1"/>
    <cellStyle name="Lien hypertexte visité" xfId="384" builtinId="9" hidden="1"/>
    <cellStyle name="Lien hypertexte visité" xfId="386" builtinId="9" hidden="1"/>
    <cellStyle name="Lien hypertexte visité" xfId="388" builtinId="9" hidden="1"/>
    <cellStyle name="Lien hypertexte visité" xfId="390" builtinId="9" hidden="1"/>
    <cellStyle name="Lien hypertexte visité" xfId="392" builtinId="9" hidden="1"/>
    <cellStyle name="Lien hypertexte visité" xfId="394" builtinId="9" hidden="1"/>
    <cellStyle name="Lien hypertexte visité" xfId="396" builtinId="9" hidden="1"/>
    <cellStyle name="Lien hypertexte visité" xfId="398" builtinId="9" hidden="1"/>
    <cellStyle name="Lien hypertexte visité" xfId="400" builtinId="9" hidden="1"/>
    <cellStyle name="Lien hypertexte visité" xfId="402" builtinId="9" hidden="1"/>
    <cellStyle name="Lien hypertexte visité" xfId="404" builtinId="9" hidden="1"/>
    <cellStyle name="Lien hypertexte visité" xfId="406" builtinId="9" hidden="1"/>
    <cellStyle name="Lien hypertexte visité" xfId="408" builtinId="9" hidden="1"/>
    <cellStyle name="Lien hypertexte visité" xfId="410" builtinId="9" hidden="1"/>
    <cellStyle name="Lien hypertexte visité" xfId="412" builtinId="9" hidden="1"/>
    <cellStyle name="Lien hypertexte visité" xfId="414" builtinId="9" hidden="1"/>
    <cellStyle name="Lien hypertexte visité" xfId="416" builtinId="9" hidden="1"/>
    <cellStyle name="Lien hypertexte visité" xfId="418" builtinId="9" hidden="1"/>
    <cellStyle name="Lien hypertexte visité" xfId="420" builtinId="9" hidden="1"/>
    <cellStyle name="Lien hypertexte visité" xfId="422" builtinId="9" hidden="1"/>
    <cellStyle name="Lien hypertexte visité" xfId="424" builtinId="9" hidden="1"/>
    <cellStyle name="Lien hypertexte visité" xfId="426" builtinId="9" hidden="1"/>
    <cellStyle name="Lien hypertexte visité" xfId="428" builtinId="9" hidden="1"/>
    <cellStyle name="Lien hypertexte visité" xfId="430" builtinId="9" hidden="1"/>
    <cellStyle name="Lien hypertexte visité" xfId="432" builtinId="9" hidden="1"/>
    <cellStyle name="Lien hypertexte visité" xfId="434" builtinId="9" hidden="1"/>
    <cellStyle name="Lien hypertexte visité" xfId="436" builtinId="9" hidden="1"/>
    <cellStyle name="Lien hypertexte visité" xfId="438" builtinId="9" hidden="1"/>
    <cellStyle name="Lien hypertexte visité" xfId="440" builtinId="9" hidden="1"/>
    <cellStyle name="Lien hypertexte visité" xfId="442" builtinId="9" hidden="1"/>
    <cellStyle name="Lien hypertexte visité" xfId="444" builtinId="9" hidden="1"/>
    <cellStyle name="Lien hypertexte visité" xfId="446" builtinId="9" hidden="1"/>
    <cellStyle name="Lien hypertexte visité" xfId="448" builtinId="9" hidden="1"/>
    <cellStyle name="Lien hypertexte visité" xfId="450" builtinId="9" hidden="1"/>
    <cellStyle name="Lien hypertexte visité" xfId="452" builtinId="9" hidden="1"/>
    <cellStyle name="Lien hypertexte visité" xfId="454" builtinId="9" hidden="1"/>
    <cellStyle name="Lien hypertexte visité" xfId="456" builtinId="9" hidden="1"/>
    <cellStyle name="Lien hypertexte visité" xfId="458" builtinId="9" hidden="1"/>
    <cellStyle name="Lien hypertexte visité" xfId="460" builtinId="9" hidden="1"/>
    <cellStyle name="Lien hypertexte visité" xfId="462" builtinId="9" hidden="1"/>
    <cellStyle name="Lien hypertexte visité" xfId="464" builtinId="9" hidden="1"/>
    <cellStyle name="Lien hypertexte visité" xfId="466" builtinId="9" hidden="1"/>
    <cellStyle name="Lien hypertexte visité" xfId="468" builtinId="9" hidden="1"/>
    <cellStyle name="Lien hypertexte visité" xfId="470" builtinId="9" hidden="1"/>
    <cellStyle name="Lien hypertexte visité" xfId="472" builtinId="9" hidden="1"/>
    <cellStyle name="Lien hypertexte visité" xfId="474" builtinId="9" hidden="1"/>
    <cellStyle name="Lien hypertexte visité" xfId="476" builtinId="9" hidden="1"/>
    <cellStyle name="Lien hypertexte visité" xfId="478" builtinId="9" hidden="1"/>
    <cellStyle name="Lien hypertexte visité" xfId="480" builtinId="9" hidden="1"/>
    <cellStyle name="Lien hypertexte visité" xfId="482" builtinId="9" hidden="1"/>
    <cellStyle name="Lien hypertexte visité" xfId="484" builtinId="9" hidden="1"/>
    <cellStyle name="Lien hypertexte visité" xfId="486" builtinId="9" hidden="1"/>
    <cellStyle name="Lien hypertexte visité" xfId="488" builtinId="9" hidden="1"/>
    <cellStyle name="Lien hypertexte visité" xfId="490" builtinId="9" hidden="1"/>
    <cellStyle name="Lien hypertexte visité" xfId="492" builtinId="9" hidden="1"/>
    <cellStyle name="Lien hypertexte visité" xfId="494" builtinId="9" hidden="1"/>
    <cellStyle name="Lien hypertexte visité" xfId="496" builtinId="9" hidden="1"/>
    <cellStyle name="Lien hypertexte visité" xfId="498" builtinId="9" hidden="1"/>
    <cellStyle name="Lien hypertexte visité" xfId="500" builtinId="9" hidden="1"/>
    <cellStyle name="Lien hypertexte visité" xfId="502" builtinId="9" hidden="1"/>
    <cellStyle name="Lien hypertexte visité" xfId="504" builtinId="9" hidden="1"/>
    <cellStyle name="Lien hypertexte visité" xfId="506" builtinId="9" hidden="1"/>
    <cellStyle name="Lien hypertexte visité" xfId="508" builtinId="9" hidden="1"/>
    <cellStyle name="Lien hypertexte visité" xfId="510" builtinId="9" hidden="1"/>
    <cellStyle name="Lien hypertexte visité" xfId="512" builtinId="9" hidden="1"/>
    <cellStyle name="Lien hypertexte visité" xfId="514" builtinId="9" hidden="1"/>
    <cellStyle name="Lien hypertexte visité" xfId="516" builtinId="9" hidden="1"/>
    <cellStyle name="Lien hypertexte visité" xfId="518" builtinId="9" hidden="1"/>
    <cellStyle name="Lien hypertexte visité" xfId="520" builtinId="9" hidden="1"/>
    <cellStyle name="Lien hypertexte visité" xfId="522" builtinId="9" hidden="1"/>
    <cellStyle name="Lien hypertexte visité" xfId="524" builtinId="9" hidden="1"/>
    <cellStyle name="Lien hypertexte visité" xfId="526" builtinId="9" hidden="1"/>
    <cellStyle name="Lien hypertexte visité" xfId="528" builtinId="9" hidden="1"/>
    <cellStyle name="Lien hypertexte visité" xfId="530" builtinId="9" hidden="1"/>
    <cellStyle name="Lien hypertexte visité" xfId="532" builtinId="9" hidden="1"/>
    <cellStyle name="Lien hypertexte visité" xfId="534" builtinId="9" hidden="1"/>
    <cellStyle name="Lien hypertexte visité" xfId="536" builtinId="9" hidden="1"/>
    <cellStyle name="Lien hypertexte visité" xfId="538" builtinId="9" hidden="1"/>
    <cellStyle name="Lien hypertexte visité" xfId="540" builtinId="9" hidden="1"/>
    <cellStyle name="Lien hypertexte visité" xfId="542" builtinId="9" hidden="1"/>
    <cellStyle name="Lien hypertexte visité" xfId="544" builtinId="9" hidden="1"/>
    <cellStyle name="Lien hypertexte visité" xfId="546" builtinId="9" hidden="1"/>
    <cellStyle name="Lien hypertexte visité" xfId="548" builtinId="9" hidden="1"/>
    <cellStyle name="Lien hypertexte visité" xfId="550" builtinId="9" hidden="1"/>
    <cellStyle name="Lien hypertexte visité" xfId="552" builtinId="9" hidden="1"/>
    <cellStyle name="Lien hypertexte visité" xfId="554" builtinId="9" hidden="1"/>
    <cellStyle name="Lien hypertexte visité" xfId="556" builtinId="9" hidden="1"/>
    <cellStyle name="Lien hypertexte visité" xfId="558" builtinId="9" hidden="1"/>
    <cellStyle name="Lien hypertexte visité" xfId="560" builtinId="9" hidden="1"/>
    <cellStyle name="Lien hypertexte visité" xfId="562" builtinId="9" hidden="1"/>
    <cellStyle name="Lien hypertexte visité" xfId="564" builtinId="9" hidden="1"/>
    <cellStyle name="Lien hypertexte visité" xfId="566" builtinId="9" hidden="1"/>
    <cellStyle name="Lien hypertexte visité" xfId="568" builtinId="9" hidden="1"/>
    <cellStyle name="Lien hypertexte visité" xfId="570" builtinId="9" hidden="1"/>
    <cellStyle name="Lien hypertexte visité" xfId="572" builtinId="9" hidden="1"/>
    <cellStyle name="Lien hypertexte visité" xfId="574" builtinId="9" hidden="1"/>
    <cellStyle name="Lien hypertexte visité" xfId="576" builtinId="9" hidden="1"/>
    <cellStyle name="Lien hypertexte visité" xfId="578" builtinId="9" hidden="1"/>
    <cellStyle name="Lien hypertexte visité" xfId="580" builtinId="9" hidden="1"/>
    <cellStyle name="Lien hypertexte visité" xfId="582" builtinId="9" hidden="1"/>
    <cellStyle name="Lien hypertexte visité" xfId="584" builtinId="9" hidden="1"/>
    <cellStyle name="Lien hypertexte visité" xfId="586" builtinId="9" hidden="1"/>
    <cellStyle name="Lien hypertexte visité" xfId="588" builtinId="9" hidden="1"/>
    <cellStyle name="Lien hypertexte visité" xfId="590" builtinId="9" hidden="1"/>
    <cellStyle name="Lien hypertexte visité" xfId="592" builtinId="9" hidden="1"/>
    <cellStyle name="Lien hypertexte visité" xfId="594" builtinId="9" hidden="1"/>
    <cellStyle name="Lien hypertexte visité" xfId="596" builtinId="9" hidden="1"/>
    <cellStyle name="Lien hypertexte visité" xfId="598" builtinId="9" hidden="1"/>
    <cellStyle name="Lien hypertexte visité" xfId="600" builtinId="9" hidden="1"/>
    <cellStyle name="Lien hypertexte visité" xfId="602" builtinId="9" hidden="1"/>
    <cellStyle name="Lien hypertexte visité" xfId="604" builtinId="9" hidden="1"/>
    <cellStyle name="Lien hypertexte visité" xfId="606" builtinId="9" hidden="1"/>
    <cellStyle name="Lien hypertexte visité" xfId="608" builtinId="9" hidden="1"/>
    <cellStyle name="Lien hypertexte visité" xfId="610" builtinId="9" hidden="1"/>
    <cellStyle name="Lien hypertexte visité" xfId="612" builtinId="9" hidden="1"/>
    <cellStyle name="Lien hypertexte visité" xfId="614" builtinId="9" hidden="1"/>
    <cellStyle name="Lien hypertexte visité" xfId="616" builtinId="9" hidden="1"/>
    <cellStyle name="Lien hypertexte visité" xfId="618" builtinId="9" hidden="1"/>
    <cellStyle name="Lien hypertexte visité" xfId="620" builtinId="9" hidden="1"/>
    <cellStyle name="Lien hypertexte visité" xfId="622" builtinId="9" hidden="1"/>
    <cellStyle name="Lien hypertexte visité" xfId="624" builtinId="9" hidden="1"/>
    <cellStyle name="Lien hypertexte visité" xfId="626" builtinId="9" hidden="1"/>
    <cellStyle name="Lien hypertexte visité" xfId="628" builtinId="9" hidden="1"/>
    <cellStyle name="Lien hypertexte visité" xfId="630" builtinId="9" hidden="1"/>
    <cellStyle name="Lien hypertexte visité" xfId="632" builtinId="9" hidden="1"/>
    <cellStyle name="Lien hypertexte visité" xfId="634" builtinId="9" hidden="1"/>
    <cellStyle name="Lien hypertexte visité" xfId="636" builtinId="9" hidden="1"/>
    <cellStyle name="Lien hypertexte visité" xfId="638" builtinId="9" hidden="1"/>
    <cellStyle name="Lien hypertexte visité" xfId="640" builtinId="9" hidden="1"/>
    <cellStyle name="Lien hypertexte visité" xfId="642" builtinId="9" hidden="1"/>
    <cellStyle name="Lien hypertexte visité" xfId="644" builtinId="9" hidden="1"/>
    <cellStyle name="Lien hypertexte visité" xfId="646" builtinId="9" hidden="1"/>
    <cellStyle name="Lien hypertexte visité" xfId="648" builtinId="9" hidden="1"/>
    <cellStyle name="Lien hypertexte visité" xfId="650" builtinId="9" hidden="1"/>
    <cellStyle name="Lien hypertexte visité" xfId="652" builtinId="9" hidden="1"/>
    <cellStyle name="Lien hypertexte visité" xfId="654" builtinId="9" hidden="1"/>
    <cellStyle name="Lien hypertexte visité" xfId="656" builtinId="9" hidden="1"/>
    <cellStyle name="Lien hypertexte visité" xfId="658" builtinId="9" hidden="1"/>
    <cellStyle name="Lien hypertexte visité" xfId="660" builtinId="9" hidden="1"/>
    <cellStyle name="Lien hypertexte visité" xfId="662" builtinId="9" hidden="1"/>
    <cellStyle name="Lien hypertexte visité" xfId="664" builtinId="9" hidden="1"/>
    <cellStyle name="Lien hypertexte visité" xfId="666" builtinId="9" hidden="1"/>
    <cellStyle name="Lien hypertexte visité" xfId="668" builtinId="9" hidden="1"/>
    <cellStyle name="Lien hypertexte visité" xfId="670" builtinId="9" hidden="1"/>
    <cellStyle name="Lien hypertexte visité" xfId="672" builtinId="9" hidden="1"/>
    <cellStyle name="Lien hypertexte visité" xfId="674" builtinId="9" hidden="1"/>
    <cellStyle name="Lien hypertexte visité" xfId="676" builtinId="9" hidden="1"/>
    <cellStyle name="Lien hypertexte visité" xfId="678" builtinId="9" hidden="1"/>
    <cellStyle name="Lien hypertexte visité" xfId="680" builtinId="9" hidden="1"/>
    <cellStyle name="Lien hypertexte visité" xfId="682" builtinId="9" hidden="1"/>
    <cellStyle name="Lien hypertexte visité" xfId="684" builtinId="9" hidden="1"/>
    <cellStyle name="Lien hypertexte visité" xfId="686" builtinId="9" hidden="1"/>
    <cellStyle name="Lien hypertexte visité" xfId="688" builtinId="9" hidden="1"/>
    <cellStyle name="Lien hypertexte visité" xfId="690" builtinId="9" hidden="1"/>
    <cellStyle name="Lien hypertexte visité" xfId="692" builtinId="9" hidden="1"/>
    <cellStyle name="Lien hypertexte visité" xfId="694" builtinId="9" hidden="1"/>
    <cellStyle name="Lien hypertexte visité" xfId="696" builtinId="9" hidden="1"/>
    <cellStyle name="Lien hypertexte visité" xfId="698" builtinId="9" hidden="1"/>
    <cellStyle name="Lien hypertexte visité" xfId="700" builtinId="9" hidden="1"/>
    <cellStyle name="Lien hypertexte visité" xfId="702" builtinId="9" hidden="1"/>
    <cellStyle name="Lien hypertexte visité" xfId="704" builtinId="9" hidden="1"/>
    <cellStyle name="Lien hypertexte visité" xfId="706" builtinId="9" hidden="1"/>
    <cellStyle name="Lien hypertexte visité" xfId="708" builtinId="9" hidden="1"/>
    <cellStyle name="Lien hypertexte visité" xfId="710" builtinId="9" hidden="1"/>
    <cellStyle name="Lien hypertexte visité" xfId="712" builtinId="9" hidden="1"/>
    <cellStyle name="Lien hypertexte visité" xfId="714" builtinId="9" hidden="1"/>
    <cellStyle name="Lien hypertexte visité" xfId="716" builtinId="9" hidden="1"/>
    <cellStyle name="Lien hypertexte visité" xfId="718" builtinId="9" hidden="1"/>
    <cellStyle name="Lien hypertexte visité" xfId="720" builtinId="9" hidden="1"/>
    <cellStyle name="Lien hypertexte visité" xfId="722" builtinId="9" hidden="1"/>
    <cellStyle name="Lien hypertexte visité" xfId="724" builtinId="9" hidden="1"/>
    <cellStyle name="Lien hypertexte visité" xfId="726" builtinId="9" hidden="1"/>
    <cellStyle name="Lien hypertexte visité" xfId="728" builtinId="9" hidden="1"/>
    <cellStyle name="Lien hypertexte visité" xfId="730" builtinId="9" hidden="1"/>
    <cellStyle name="Lien hypertexte visité" xfId="732" builtinId="9" hidden="1"/>
    <cellStyle name="Lien hypertexte visité" xfId="734" builtinId="9" hidden="1"/>
    <cellStyle name="Lien hypertexte visité" xfId="736" builtinId="9" hidden="1"/>
    <cellStyle name="Lien hypertexte visité" xfId="738" builtinId="9" hidden="1"/>
    <cellStyle name="Lien hypertexte visité" xfId="740" builtinId="9" hidden="1"/>
    <cellStyle name="Lien hypertexte visité" xfId="742" builtinId="9" hidden="1"/>
    <cellStyle name="Lien hypertexte visité" xfId="744" builtinId="9" hidden="1"/>
    <cellStyle name="Lien hypertexte visité" xfId="746" builtinId="9" hidden="1"/>
    <cellStyle name="Lien hypertexte visité" xfId="748" builtinId="9" hidden="1"/>
    <cellStyle name="Lien hypertexte visité" xfId="750" builtinId="9" hidden="1"/>
    <cellStyle name="Lien hypertexte visité" xfId="752" builtinId="9" hidden="1"/>
    <cellStyle name="Lien hypertexte visité" xfId="754" builtinId="9" hidden="1"/>
    <cellStyle name="Lien hypertexte visité" xfId="756" builtinId="9" hidden="1"/>
    <cellStyle name="Lien hypertexte visité" xfId="758" builtinId="9" hidden="1"/>
    <cellStyle name="Lien hypertexte visité" xfId="760" builtinId="9" hidden="1"/>
    <cellStyle name="Lien hypertexte visité" xfId="762" builtinId="9" hidden="1"/>
    <cellStyle name="Lien hypertexte visité" xfId="764" builtinId="9" hidden="1"/>
    <cellStyle name="Lien hypertexte visité" xfId="766" builtinId="9" hidden="1"/>
    <cellStyle name="Lien hypertexte visité" xfId="768" builtinId="9" hidden="1"/>
    <cellStyle name="Lien hypertexte visité" xfId="770" builtinId="9" hidden="1"/>
    <cellStyle name="Lien hypertexte visité" xfId="772" builtinId="9" hidden="1"/>
    <cellStyle name="Lien hypertexte visité" xfId="774" builtinId="9" hidden="1"/>
    <cellStyle name="Lien hypertexte visité" xfId="776" builtinId="9" hidden="1"/>
    <cellStyle name="Lien hypertexte visité" xfId="778" builtinId="9" hidden="1"/>
    <cellStyle name="Lien hypertexte visité" xfId="780" builtinId="9" hidden="1"/>
    <cellStyle name="Lien hypertexte visité" xfId="782" builtinId="9" hidden="1"/>
    <cellStyle name="Lien hypertexte visité" xfId="784" builtinId="9" hidden="1"/>
    <cellStyle name="Lien hypertexte visité" xfId="786" builtinId="9" hidden="1"/>
    <cellStyle name="Lien hypertexte visité" xfId="788" builtinId="9" hidden="1"/>
    <cellStyle name="Lien hypertexte visité" xfId="790" builtinId="9" hidden="1"/>
    <cellStyle name="Lien hypertexte visité" xfId="792" builtinId="9" hidden="1"/>
    <cellStyle name="Lien hypertexte visité" xfId="794" builtinId="9" hidden="1"/>
    <cellStyle name="Lien hypertexte visité" xfId="796" builtinId="9" hidden="1"/>
    <cellStyle name="Lien hypertexte visité" xfId="798" builtinId="9" hidden="1"/>
    <cellStyle name="Lien hypertexte visité" xfId="800" builtinId="9" hidden="1"/>
    <cellStyle name="Lien hypertexte visité" xfId="802" builtinId="9" hidden="1"/>
    <cellStyle name="Lien hypertexte visité" xfId="804" builtinId="9" hidden="1"/>
    <cellStyle name="Lien hypertexte visité" xfId="806" builtinId="9" hidden="1"/>
    <cellStyle name="Lien hypertexte visité" xfId="808" builtinId="9" hidden="1"/>
    <cellStyle name="Lien hypertexte visité" xfId="810" builtinId="9" hidden="1"/>
    <cellStyle name="Lien hypertexte visité" xfId="812" builtinId="9" hidden="1"/>
    <cellStyle name="Lien hypertexte visité" xfId="814" builtinId="9" hidden="1"/>
    <cellStyle name="Lien hypertexte visité" xfId="816" builtinId="9" hidden="1"/>
    <cellStyle name="Lien hypertexte visité" xfId="818" builtinId="9" hidden="1"/>
    <cellStyle name="Lien hypertexte visité" xfId="820" builtinId="9" hidden="1"/>
    <cellStyle name="Lien hypertexte visité" xfId="822" builtinId="9" hidden="1"/>
    <cellStyle name="Lien hypertexte visité" xfId="824" builtinId="9" hidden="1"/>
    <cellStyle name="Lien hypertexte visité" xfId="826" builtinId="9" hidden="1"/>
    <cellStyle name="Lien hypertexte visité" xfId="828" builtinId="9" hidden="1"/>
    <cellStyle name="Lien hypertexte visité" xfId="830" builtinId="9" hidden="1"/>
    <cellStyle name="Lien hypertexte visité" xfId="832" builtinId="9" hidden="1"/>
    <cellStyle name="Lien hypertexte visité" xfId="834" builtinId="9" hidden="1"/>
    <cellStyle name="Lien hypertexte visité" xfId="836" builtinId="9" hidden="1"/>
    <cellStyle name="Lien hypertexte visité" xfId="838" builtinId="9" hidden="1"/>
    <cellStyle name="Lien hypertexte visité" xfId="840" builtinId="9" hidden="1"/>
    <cellStyle name="Lien hypertexte visité" xfId="842" builtinId="9" hidden="1"/>
    <cellStyle name="Lien hypertexte visité" xfId="844" builtinId="9" hidden="1"/>
    <cellStyle name="Lien hypertexte visité" xfId="846" builtinId="9" hidden="1"/>
    <cellStyle name="Lien hypertexte visité" xfId="848" builtinId="9" hidden="1"/>
    <cellStyle name="Lien hypertexte visité" xfId="850" builtinId="9" hidden="1"/>
    <cellStyle name="Lien hypertexte visité" xfId="852" builtinId="9" hidden="1"/>
    <cellStyle name="Lien hypertexte visité" xfId="854" builtinId="9" hidden="1"/>
    <cellStyle name="Lien hypertexte visité" xfId="856" builtinId="9" hidden="1"/>
    <cellStyle name="Lien hypertexte visité" xfId="858" builtinId="9" hidden="1"/>
    <cellStyle name="Lien hypertexte visité" xfId="860" builtinId="9" hidden="1"/>
    <cellStyle name="Lien hypertexte visité" xfId="862" builtinId="9" hidden="1"/>
    <cellStyle name="Lien hypertexte visité" xfId="864" builtinId="9" hidden="1"/>
    <cellStyle name="Lien hypertexte visité" xfId="866" builtinId="9" hidden="1"/>
    <cellStyle name="Lien hypertexte visité" xfId="868" builtinId="9" hidden="1"/>
    <cellStyle name="Lien hypertexte visité" xfId="870" builtinId="9" hidden="1"/>
    <cellStyle name="Lien hypertexte visité" xfId="872" builtinId="9" hidden="1"/>
    <cellStyle name="Lien hypertexte visité" xfId="874" builtinId="9" hidden="1"/>
    <cellStyle name="Lien hypertexte visité" xfId="876" builtinId="9" hidden="1"/>
    <cellStyle name="Lien hypertexte visité" xfId="878" builtinId="9" hidden="1"/>
    <cellStyle name="Lien hypertexte visité" xfId="880" builtinId="9" hidden="1"/>
    <cellStyle name="Lien hypertexte visité" xfId="882" builtinId="9" hidden="1"/>
    <cellStyle name="Lien hypertexte visité" xfId="884" builtinId="9" hidden="1"/>
    <cellStyle name="Lien hypertexte visité" xfId="886" builtinId="9" hidden="1"/>
    <cellStyle name="Lien hypertexte visité" xfId="888" builtinId="9" hidden="1"/>
    <cellStyle name="Lien hypertexte visité" xfId="890" builtinId="9" hidden="1"/>
    <cellStyle name="Lien hypertexte visité" xfId="892" builtinId="9" hidden="1"/>
    <cellStyle name="Lien hypertexte visité" xfId="894" builtinId="9" hidden="1"/>
    <cellStyle name="Lien hypertexte visité" xfId="896" builtinId="9" hidden="1"/>
    <cellStyle name="Lien hypertexte visité" xfId="898" builtinId="9" hidden="1"/>
    <cellStyle name="Lien hypertexte visité" xfId="900" builtinId="9" hidden="1"/>
    <cellStyle name="Lien hypertexte visité" xfId="902" builtinId="9" hidden="1"/>
    <cellStyle name="Lien hypertexte visité" xfId="904" builtinId="9" hidden="1"/>
    <cellStyle name="Lien hypertexte visité" xfId="906" builtinId="9" hidden="1"/>
    <cellStyle name="Lien hypertexte visité" xfId="908" builtinId="9" hidden="1"/>
    <cellStyle name="Lien hypertexte visité" xfId="910" builtinId="9" hidden="1"/>
    <cellStyle name="Lien hypertexte visité" xfId="912" builtinId="9" hidden="1"/>
    <cellStyle name="Lien hypertexte visité" xfId="914" builtinId="9" hidden="1"/>
    <cellStyle name="Lien hypertexte visité" xfId="916" builtinId="9" hidden="1"/>
    <cellStyle name="Lien hypertexte visité" xfId="918" builtinId="9" hidden="1"/>
    <cellStyle name="Lien hypertexte visité" xfId="920" builtinId="9" hidden="1"/>
    <cellStyle name="Lien hypertexte visité" xfId="922" builtinId="9" hidden="1"/>
    <cellStyle name="Lien hypertexte visité" xfId="924" builtinId="9" hidden="1"/>
    <cellStyle name="Lien hypertexte visité" xfId="926" builtinId="9" hidden="1"/>
    <cellStyle name="Lien hypertexte visité" xfId="928" builtinId="9" hidden="1"/>
    <cellStyle name="Lien hypertexte visité" xfId="930" builtinId="9" hidden="1"/>
    <cellStyle name="Lien hypertexte visité" xfId="932" builtinId="9" hidden="1"/>
    <cellStyle name="Lien hypertexte visité" xfId="934" builtinId="9" hidden="1"/>
    <cellStyle name="Lien hypertexte visité" xfId="936" builtinId="9" hidden="1"/>
    <cellStyle name="Lien hypertexte visité" xfId="938" builtinId="9" hidden="1"/>
    <cellStyle name="Lien hypertexte visité" xfId="940" builtinId="9" hidden="1"/>
    <cellStyle name="Lien hypertexte visité" xfId="942" builtinId="9" hidden="1"/>
    <cellStyle name="Lien hypertexte visité" xfId="944" builtinId="9" hidden="1"/>
    <cellStyle name="Lien hypertexte visité" xfId="946" builtinId="9" hidden="1"/>
    <cellStyle name="Lien hypertexte visité" xfId="948" builtinId="9" hidden="1"/>
    <cellStyle name="Lien hypertexte visité" xfId="950" builtinId="9" hidden="1"/>
    <cellStyle name="Lien hypertexte visité" xfId="952" builtinId="9" hidden="1"/>
    <cellStyle name="Lien hypertexte visité" xfId="954" builtinId="9" hidden="1"/>
    <cellStyle name="Lien hypertexte visité" xfId="956" builtinId="9" hidden="1"/>
    <cellStyle name="Lien hypertexte visité" xfId="958" builtinId="9" hidden="1"/>
    <cellStyle name="Lien hypertexte visité" xfId="960" builtinId="9" hidden="1"/>
    <cellStyle name="Lien hypertexte visité" xfId="962" builtinId="9" hidden="1"/>
    <cellStyle name="Lien hypertexte visité" xfId="964" builtinId="9" hidden="1"/>
    <cellStyle name="Lien hypertexte visité" xfId="966" builtinId="9" hidden="1"/>
    <cellStyle name="Lien hypertexte visité" xfId="968" builtinId="9" hidden="1"/>
    <cellStyle name="Lien hypertexte visité" xfId="970" builtinId="9" hidden="1"/>
    <cellStyle name="Lien hypertexte visité" xfId="972" builtinId="9" hidden="1"/>
    <cellStyle name="Lien hypertexte visité" xfId="974" builtinId="9" hidden="1"/>
    <cellStyle name="Lien hypertexte visité" xfId="976" builtinId="9" hidden="1"/>
    <cellStyle name="Lien hypertexte visité" xfId="978" builtinId="9" hidden="1"/>
    <cellStyle name="Lien hypertexte visité" xfId="980" builtinId="9" hidden="1"/>
    <cellStyle name="Lien hypertexte visité" xfId="982" builtinId="9" hidden="1"/>
    <cellStyle name="Lien hypertexte visité" xfId="984" builtinId="9" hidden="1"/>
    <cellStyle name="Lien hypertexte visité" xfId="986" builtinId="9" hidden="1"/>
    <cellStyle name="Lien hypertexte visité" xfId="988" builtinId="9" hidden="1"/>
    <cellStyle name="Lien hypertexte visité" xfId="990" builtinId="9" hidden="1"/>
    <cellStyle name="Lien hypertexte visité" xfId="992" builtinId="9" hidden="1"/>
    <cellStyle name="Lien hypertexte visité" xfId="994" builtinId="9" hidden="1"/>
    <cellStyle name="Lien hypertexte visité" xfId="996" builtinId="9" hidden="1"/>
    <cellStyle name="Lien hypertexte visité" xfId="998" builtinId="9" hidden="1"/>
    <cellStyle name="Lien hypertexte visité" xfId="1000" builtinId="9" hidden="1"/>
    <cellStyle name="Lien hypertexte visité" xfId="1002" builtinId="9" hidden="1"/>
    <cellStyle name="Lien hypertexte visité" xfId="1004" builtinId="9" hidden="1"/>
    <cellStyle name="Lien hypertexte visité" xfId="1006" builtinId="9" hidden="1"/>
    <cellStyle name="Lien hypertexte visité" xfId="1008" builtinId="9" hidden="1"/>
    <cellStyle name="Lien hypertexte visité" xfId="1010" builtinId="9" hidden="1"/>
    <cellStyle name="Lien hypertexte visité" xfId="1012" builtinId="9" hidden="1"/>
    <cellStyle name="Lien hypertexte visité" xfId="1014" builtinId="9" hidden="1"/>
    <cellStyle name="Lien hypertexte visité" xfId="1016" builtinId="9" hidden="1"/>
    <cellStyle name="Lien hypertexte visité" xfId="1018" builtinId="9" hidden="1"/>
    <cellStyle name="Lien hypertexte visité" xfId="1020" builtinId="9" hidden="1"/>
    <cellStyle name="Lien hypertexte visité" xfId="1022" builtinId="9" hidden="1"/>
    <cellStyle name="Lien hypertexte visité" xfId="1024" builtinId="9" hidden="1"/>
    <cellStyle name="Lien hypertexte visité" xfId="1026" builtinId="9" hidden="1"/>
    <cellStyle name="Lien hypertexte visité" xfId="1028" builtinId="9" hidden="1"/>
    <cellStyle name="Lien hypertexte visité" xfId="1030" builtinId="9" hidden="1"/>
    <cellStyle name="Lien hypertexte visité" xfId="1032" builtinId="9" hidden="1"/>
    <cellStyle name="Lien hypertexte visité" xfId="1034" builtinId="9" hidden="1"/>
    <cellStyle name="Lien hypertexte visité" xfId="1036" builtinId="9" hidden="1"/>
    <cellStyle name="Lien hypertexte visité" xfId="1038" builtinId="9" hidden="1"/>
    <cellStyle name="Lien hypertexte visité" xfId="1040" builtinId="9" hidden="1"/>
    <cellStyle name="Lien hypertexte visité" xfId="1042" builtinId="9" hidden="1"/>
    <cellStyle name="Lien hypertexte visité" xfId="1044" builtinId="9" hidden="1"/>
    <cellStyle name="Lien hypertexte visité" xfId="1046" builtinId="9" hidden="1"/>
    <cellStyle name="Lien hypertexte visité" xfId="1048" builtinId="9" hidden="1"/>
    <cellStyle name="Lien hypertexte visité" xfId="1050" builtinId="9" hidden="1"/>
    <cellStyle name="Lien hypertexte visité" xfId="1052" builtinId="9" hidden="1"/>
    <cellStyle name="Lien hypertexte visité" xfId="1054" builtinId="9" hidden="1"/>
    <cellStyle name="Lien hypertexte visité" xfId="1056" builtinId="9" hidden="1"/>
    <cellStyle name="Lien hypertexte visité" xfId="1058" builtinId="9" hidden="1"/>
    <cellStyle name="Lien hypertexte visité" xfId="1060" builtinId="9" hidden="1"/>
    <cellStyle name="Lien hypertexte visité" xfId="1062" builtinId="9" hidden="1"/>
    <cellStyle name="Lien hypertexte visité" xfId="1064" builtinId="9" hidden="1"/>
    <cellStyle name="Lien hypertexte visité" xfId="1066" builtinId="9" hidden="1"/>
    <cellStyle name="Lien hypertexte visité" xfId="1068" builtinId="9" hidden="1"/>
    <cellStyle name="Lien hypertexte visité" xfId="1070" builtinId="9" hidden="1"/>
    <cellStyle name="Lien hypertexte visité" xfId="1072" builtinId="9" hidden="1"/>
    <cellStyle name="Lien hypertexte visité" xfId="1074" builtinId="9" hidden="1"/>
    <cellStyle name="Lien hypertexte visité" xfId="1076" builtinId="9" hidden="1"/>
    <cellStyle name="Lien hypertexte visité" xfId="1078" builtinId="9" hidden="1"/>
    <cellStyle name="Lien hypertexte visité" xfId="1080" builtinId="9" hidden="1"/>
    <cellStyle name="Lien hypertexte visité" xfId="1082" builtinId="9" hidden="1"/>
    <cellStyle name="Lien hypertexte visité" xfId="1084" builtinId="9" hidden="1"/>
    <cellStyle name="Lien hypertexte visité" xfId="1086" builtinId="9" hidden="1"/>
    <cellStyle name="Lien hypertexte visité" xfId="1088" builtinId="9" hidden="1"/>
    <cellStyle name="Lien hypertexte visité" xfId="1090" builtinId="9" hidden="1"/>
    <cellStyle name="Lien hypertexte visité" xfId="1092" builtinId="9" hidden="1"/>
    <cellStyle name="Lien hypertexte visité" xfId="1094" builtinId="9" hidden="1"/>
    <cellStyle name="Lien hypertexte visité" xfId="1096" builtinId="9" hidden="1"/>
    <cellStyle name="Lien hypertexte visité" xfId="1098" builtinId="9" hidden="1"/>
    <cellStyle name="Lien hypertexte visité" xfId="1100" builtinId="9" hidden="1"/>
    <cellStyle name="Lien hypertexte visité" xfId="1102" builtinId="9" hidden="1"/>
    <cellStyle name="Lien hypertexte visité" xfId="1104" builtinId="9" hidden="1"/>
    <cellStyle name="Lien hypertexte visité" xfId="1106" builtinId="9" hidden="1"/>
    <cellStyle name="Lien hypertexte visité" xfId="1108" builtinId="9" hidden="1"/>
    <cellStyle name="Lien hypertexte visité" xfId="1110" builtinId="9" hidden="1"/>
    <cellStyle name="Lien hypertexte visité" xfId="1112" builtinId="9" hidden="1"/>
    <cellStyle name="Lien hypertexte visité" xfId="1114" builtinId="9" hidden="1"/>
    <cellStyle name="Lien hypertexte visité" xfId="1116" builtinId="9" hidden="1"/>
    <cellStyle name="Lien hypertexte visité" xfId="1118" builtinId="9" hidden="1"/>
    <cellStyle name="Lien hypertexte visité" xfId="1120" builtinId="9" hidden="1"/>
    <cellStyle name="Lien hypertexte visité" xfId="1122" builtinId="9" hidden="1"/>
    <cellStyle name="Lien hypertexte visité" xfId="1124" builtinId="9" hidden="1"/>
    <cellStyle name="Lien hypertexte visité" xfId="1126" builtinId="9" hidden="1"/>
    <cellStyle name="Lien hypertexte visité" xfId="1128" builtinId="9" hidden="1"/>
    <cellStyle name="Lien hypertexte visité" xfId="1130" builtinId="9" hidden="1"/>
    <cellStyle name="Lien hypertexte visité" xfId="1132" builtinId="9" hidden="1"/>
    <cellStyle name="Lien hypertexte visité" xfId="1134" builtinId="9" hidden="1"/>
    <cellStyle name="Lien hypertexte visité" xfId="1136" builtinId="9" hidden="1"/>
    <cellStyle name="Lien hypertexte visité" xfId="1138" builtinId="9" hidden="1"/>
    <cellStyle name="Lien hypertexte visité" xfId="1140" builtinId="9" hidden="1"/>
    <cellStyle name="Lien hypertexte visité" xfId="1142" builtinId="9" hidden="1"/>
    <cellStyle name="Lien hypertexte visité" xfId="1144" builtinId="9" hidden="1"/>
    <cellStyle name="Lien hypertexte visité" xfId="1146" builtinId="9" hidden="1"/>
    <cellStyle name="Lien hypertexte visité" xfId="1148" builtinId="9" hidden="1"/>
    <cellStyle name="Lien hypertexte visité" xfId="1150" builtinId="9" hidden="1"/>
    <cellStyle name="Lien hypertexte visité" xfId="1152" builtinId="9" hidden="1"/>
    <cellStyle name="Lien hypertexte visité" xfId="1154" builtinId="9" hidden="1"/>
    <cellStyle name="Lien hypertexte visité" xfId="1156" builtinId="9" hidden="1"/>
    <cellStyle name="Lien hypertexte visité" xfId="1158" builtinId="9" hidden="1"/>
    <cellStyle name="Lien hypertexte visité" xfId="1160" builtinId="9" hidden="1"/>
    <cellStyle name="Lien hypertexte visité" xfId="1162" builtinId="9" hidden="1"/>
    <cellStyle name="Lien hypertexte visité" xfId="1164" builtinId="9" hidden="1"/>
    <cellStyle name="Lien hypertexte visité" xfId="1166" builtinId="9" hidden="1"/>
    <cellStyle name="Lien hypertexte visité" xfId="1168" builtinId="9" hidden="1"/>
    <cellStyle name="Lien hypertexte visité" xfId="1170" builtinId="9" hidden="1"/>
    <cellStyle name="Lien hypertexte visité" xfId="1172" builtinId="9" hidden="1"/>
    <cellStyle name="Lien hypertexte visité" xfId="1174" builtinId="9" hidden="1"/>
    <cellStyle name="Lien hypertexte visité" xfId="1176" builtinId="9" hidden="1"/>
    <cellStyle name="Lien hypertexte visité" xfId="1178" builtinId="9" hidden="1"/>
    <cellStyle name="Lien hypertexte visité" xfId="1180" builtinId="9" hidden="1"/>
    <cellStyle name="Lien hypertexte visité" xfId="1182" builtinId="9" hidden="1"/>
    <cellStyle name="Lien hypertexte visité" xfId="1184" builtinId="9" hidden="1"/>
    <cellStyle name="Lien hypertexte visité" xfId="1186" builtinId="9" hidden="1"/>
    <cellStyle name="Lien hypertexte visité" xfId="1188" builtinId="9" hidden="1"/>
    <cellStyle name="Lien hypertexte visité" xfId="1190" builtinId="9" hidden="1"/>
    <cellStyle name="Lien hypertexte visité" xfId="1192" builtinId="9" hidden="1"/>
    <cellStyle name="Lien hypertexte visité" xfId="1194" builtinId="9" hidden="1"/>
    <cellStyle name="Lien hypertexte visité" xfId="1196" builtinId="9" hidden="1"/>
    <cellStyle name="Lien hypertexte visité" xfId="1198" builtinId="9" hidden="1"/>
    <cellStyle name="Lien hypertexte visité" xfId="1200" builtinId="9" hidden="1"/>
    <cellStyle name="Lien hypertexte visité" xfId="1202" builtinId="9" hidden="1"/>
    <cellStyle name="Lien hypertexte visité" xfId="1204" builtinId="9" hidden="1"/>
    <cellStyle name="Lien hypertexte visité" xfId="1206" builtinId="9" hidden="1"/>
    <cellStyle name="Lien hypertexte visité" xfId="1208" builtinId="9" hidden="1"/>
    <cellStyle name="Lien hypertexte visité" xfId="1210" builtinId="9" hidden="1"/>
    <cellStyle name="Lien hypertexte visité" xfId="1212" builtinId="9" hidden="1"/>
    <cellStyle name="Lien hypertexte visité" xfId="1214" builtinId="9" hidden="1"/>
    <cellStyle name="Lien hypertexte visité" xfId="1216" builtinId="9" hidden="1"/>
    <cellStyle name="Lien hypertexte visité" xfId="1218" builtinId="9" hidden="1"/>
    <cellStyle name="Lien hypertexte visité" xfId="1220" builtinId="9" hidden="1"/>
    <cellStyle name="Lien hypertexte visité" xfId="1222" builtinId="9" hidden="1"/>
    <cellStyle name="Lien hypertexte visité" xfId="1224" builtinId="9" hidden="1"/>
    <cellStyle name="Lien hypertexte visité" xfId="1226" builtinId="9" hidden="1"/>
    <cellStyle name="Lien hypertexte visité" xfId="1228" builtinId="9" hidden="1"/>
    <cellStyle name="Lien hypertexte visité" xfId="1230" builtinId="9" hidden="1"/>
    <cellStyle name="Lien hypertexte visité" xfId="1232" builtinId="9" hidden="1"/>
    <cellStyle name="Lien hypertexte visité" xfId="1234" builtinId="9" hidden="1"/>
    <cellStyle name="Lien hypertexte visité" xfId="1236" builtinId="9" hidden="1"/>
    <cellStyle name="Lien hypertexte visité" xfId="1238" builtinId="9" hidden="1"/>
    <cellStyle name="Lien hypertexte visité" xfId="1240" builtinId="9" hidden="1"/>
    <cellStyle name="Lien hypertexte visité" xfId="1242" builtinId="9" hidden="1"/>
    <cellStyle name="Lien hypertexte visité" xfId="1244" builtinId="9" hidden="1"/>
    <cellStyle name="Lien hypertexte visité" xfId="1246" builtinId="9" hidden="1"/>
    <cellStyle name="Lien hypertexte visité" xfId="1248" builtinId="9" hidden="1"/>
    <cellStyle name="Lien hypertexte visité" xfId="1250" builtinId="9" hidden="1"/>
    <cellStyle name="Lien hypertexte visité" xfId="1252" builtinId="9" hidden="1"/>
    <cellStyle name="Lien hypertexte visité" xfId="1254" builtinId="9" hidden="1"/>
    <cellStyle name="Lien hypertexte visité" xfId="1256" builtinId="9" hidden="1"/>
    <cellStyle name="Lien hypertexte visité" xfId="1258"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tabSelected="1" zoomScale="125" zoomScaleNormal="125" zoomScalePageLayoutView="125" workbookViewId="0">
      <selection activeCell="F9" sqref="F9"/>
    </sheetView>
  </sheetViews>
  <sheetFormatPr baseColWidth="10" defaultRowHeight="15" x14ac:dyDescent="0"/>
  <cols>
    <col min="1" max="1" width="6.6640625" style="44" customWidth="1"/>
    <col min="2" max="2" width="29.5" bestFit="1" customWidth="1"/>
    <col min="3" max="3" width="59.33203125" customWidth="1"/>
    <col min="4" max="4" width="9.5" customWidth="1"/>
    <col min="5" max="6" width="18.5" customWidth="1"/>
    <col min="7" max="7" width="8.6640625" customWidth="1"/>
    <col min="8" max="8" width="8.83203125" customWidth="1"/>
    <col min="10" max="17" width="10.83203125" hidden="1" customWidth="1"/>
    <col min="18" max="19" width="0" hidden="1" customWidth="1"/>
    <col min="21" max="22" width="0" hidden="1" customWidth="1"/>
  </cols>
  <sheetData>
    <row r="1" spans="1:18" ht="37" thickBot="1">
      <c r="A1" s="140" t="s">
        <v>115</v>
      </c>
      <c r="B1" s="141"/>
      <c r="C1" s="141"/>
      <c r="D1" s="141"/>
      <c r="E1" s="141"/>
      <c r="F1" s="141"/>
      <c r="G1" s="141"/>
      <c r="H1" s="141"/>
      <c r="I1" s="142"/>
      <c r="J1" s="3" t="s">
        <v>36</v>
      </c>
      <c r="K1" s="3"/>
      <c r="L1" t="s">
        <v>59</v>
      </c>
      <c r="M1" t="s">
        <v>60</v>
      </c>
    </row>
    <row r="2" spans="1:18" ht="33" customHeight="1" thickBot="1">
      <c r="A2" s="143" t="s">
        <v>85</v>
      </c>
      <c r="B2" s="144"/>
      <c r="C2" s="144"/>
      <c r="D2" s="144"/>
      <c r="E2" s="144"/>
      <c r="F2" s="144"/>
      <c r="G2" s="144"/>
      <c r="H2" s="144"/>
      <c r="I2" s="145"/>
      <c r="J2" s="3"/>
      <c r="K2" s="3"/>
      <c r="P2" t="s">
        <v>105</v>
      </c>
    </row>
    <row r="3" spans="1:18" ht="16">
      <c r="A3" s="146" t="s">
        <v>0</v>
      </c>
      <c r="B3" s="148" t="s">
        <v>58</v>
      </c>
      <c r="C3" s="128" t="s">
        <v>96</v>
      </c>
      <c r="D3" s="150" t="s">
        <v>135</v>
      </c>
      <c r="E3" s="152" t="s">
        <v>136</v>
      </c>
      <c r="F3" s="153"/>
      <c r="G3" s="152" t="s">
        <v>75</v>
      </c>
      <c r="H3" s="153"/>
      <c r="I3" s="154" t="s">
        <v>72</v>
      </c>
      <c r="J3" s="3"/>
      <c r="K3" s="3"/>
    </row>
    <row r="4" spans="1:18" ht="33" customHeight="1" thickBot="1">
      <c r="A4" s="147"/>
      <c r="B4" s="149"/>
      <c r="C4" s="129"/>
      <c r="D4" s="151"/>
      <c r="E4" s="39" t="s">
        <v>73</v>
      </c>
      <c r="F4" s="40" t="s">
        <v>74</v>
      </c>
      <c r="G4" s="41" t="s">
        <v>73</v>
      </c>
      <c r="H4" s="42" t="s">
        <v>74</v>
      </c>
      <c r="I4" s="155"/>
      <c r="J4" s="4"/>
      <c r="K4" s="1"/>
      <c r="L4" s="1"/>
      <c r="M4" s="1"/>
      <c r="N4" s="1"/>
      <c r="O4" s="1"/>
    </row>
    <row r="5" spans="1:18" ht="23" customHeight="1" thickBot="1">
      <c r="A5" s="137" t="s">
        <v>103</v>
      </c>
      <c r="B5" s="138"/>
      <c r="C5" s="138"/>
      <c r="D5" s="138"/>
      <c r="E5" s="138"/>
      <c r="F5" s="138"/>
      <c r="G5" s="138"/>
      <c r="H5" s="138"/>
      <c r="I5" s="139"/>
      <c r="J5" s="4"/>
      <c r="K5" s="1"/>
      <c r="L5" s="1"/>
      <c r="M5" s="1"/>
      <c r="N5" s="1"/>
      <c r="O5" s="1"/>
    </row>
    <row r="6" spans="1:18" ht="16" thickBot="1">
      <c r="A6" s="18" t="s">
        <v>3</v>
      </c>
      <c r="B6" s="19" t="s">
        <v>10</v>
      </c>
      <c r="C6" s="56"/>
      <c r="D6" s="21">
        <v>5</v>
      </c>
      <c r="E6" s="57">
        <f>49+39+15+15</f>
        <v>118</v>
      </c>
      <c r="F6" s="58">
        <f>49+25+15</f>
        <v>89</v>
      </c>
      <c r="G6" s="86">
        <f t="shared" ref="G6:H6" si="0">(L6-E6)/L6</f>
        <v>0.39795918367346939</v>
      </c>
      <c r="H6" s="22">
        <f t="shared" si="0"/>
        <v>0.39455782312925169</v>
      </c>
      <c r="I6" s="59">
        <f>AVERAGE(G6,H6)</f>
        <v>0.39625850340136054</v>
      </c>
      <c r="J6" s="51"/>
      <c r="K6" s="52"/>
      <c r="L6" s="52">
        <f>4*49</f>
        <v>196</v>
      </c>
      <c r="M6" s="52">
        <f>3*49</f>
        <v>147</v>
      </c>
    </row>
    <row r="7" spans="1:18" ht="17" thickBot="1">
      <c r="A7" s="18" t="s">
        <v>3</v>
      </c>
      <c r="B7" s="20" t="s">
        <v>123</v>
      </c>
      <c r="C7" s="20" t="s">
        <v>137</v>
      </c>
      <c r="D7" s="21">
        <v>14</v>
      </c>
      <c r="E7" s="57">
        <f>33+33+17+17</f>
        <v>100</v>
      </c>
      <c r="F7" s="58">
        <f>33+27+17</f>
        <v>77</v>
      </c>
      <c r="G7" s="86">
        <f t="shared" ref="G7:H14" si="1">(L7-E7)/L7</f>
        <v>0.34210526315789475</v>
      </c>
      <c r="H7" s="22">
        <f t="shared" ref="H7:H9" si="2">(M7-F7)/M7</f>
        <v>0.32456140350877194</v>
      </c>
      <c r="I7" s="59">
        <f>AVERAGE(G7,H7)</f>
        <v>0.33333333333333337</v>
      </c>
      <c r="J7" s="51"/>
      <c r="K7" s="52"/>
      <c r="L7" s="52">
        <f>4*38</f>
        <v>152</v>
      </c>
      <c r="M7" s="52">
        <f>3*38</f>
        <v>114</v>
      </c>
    </row>
    <row r="8" spans="1:18" ht="16" thickBot="1">
      <c r="A8" s="18" t="s">
        <v>4</v>
      </c>
      <c r="B8" s="19" t="s">
        <v>97</v>
      </c>
      <c r="C8" s="56"/>
      <c r="D8" s="21">
        <v>1</v>
      </c>
      <c r="E8" s="57">
        <f>16+16+12+12</f>
        <v>56</v>
      </c>
      <c r="F8" s="58">
        <f>16+12+12</f>
        <v>40</v>
      </c>
      <c r="G8" s="86">
        <f t="shared" si="1"/>
        <v>0.3</v>
      </c>
      <c r="H8" s="22">
        <f t="shared" si="2"/>
        <v>0.33333333333333331</v>
      </c>
      <c r="I8" s="59">
        <f>AVERAGE(G8,H8)</f>
        <v>0.31666666666666665</v>
      </c>
      <c r="J8" s="51" t="s">
        <v>44</v>
      </c>
      <c r="K8" s="52"/>
      <c r="L8" s="52">
        <f>4*20</f>
        <v>80</v>
      </c>
      <c r="M8" s="52">
        <f>3*20</f>
        <v>60</v>
      </c>
      <c r="O8" s="2" t="s">
        <v>87</v>
      </c>
    </row>
    <row r="9" spans="1:18" ht="16" thickBot="1">
      <c r="A9" s="18" t="s">
        <v>4</v>
      </c>
      <c r="B9" s="19" t="s">
        <v>125</v>
      </c>
      <c r="C9" s="56"/>
      <c r="D9" s="21">
        <v>4</v>
      </c>
      <c r="E9" s="57">
        <f>(43+43+25+0)</f>
        <v>111</v>
      </c>
      <c r="F9" s="58">
        <f>(43+25+25)</f>
        <v>93</v>
      </c>
      <c r="G9" s="86">
        <f t="shared" si="1"/>
        <v>0.35465116279069769</v>
      </c>
      <c r="H9" s="22">
        <f t="shared" si="2"/>
        <v>0.27906976744186046</v>
      </c>
      <c r="I9" s="59">
        <f>AVERAGE(G9,H9)</f>
        <v>0.31686046511627908</v>
      </c>
      <c r="J9" s="51"/>
      <c r="K9" s="52"/>
      <c r="L9" s="52">
        <f>4*43</f>
        <v>172</v>
      </c>
      <c r="M9" s="52">
        <f>3*43</f>
        <v>129</v>
      </c>
    </row>
    <row r="10" spans="1:18">
      <c r="A10" s="130" t="s">
        <v>3</v>
      </c>
      <c r="B10" s="133" t="s">
        <v>126</v>
      </c>
      <c r="C10" s="24" t="s">
        <v>26</v>
      </c>
      <c r="D10" s="13">
        <v>4</v>
      </c>
      <c r="E10" s="94">
        <v>132</v>
      </c>
      <c r="F10" s="95">
        <v>104</v>
      </c>
      <c r="G10" s="87">
        <f t="shared" si="1"/>
        <v>0.32653061224489793</v>
      </c>
      <c r="H10" s="25">
        <f t="shared" si="1"/>
        <v>0.29251700680272108</v>
      </c>
      <c r="I10" s="125">
        <f>AVERAGE(G10:H14)</f>
        <v>0.31136526116332935</v>
      </c>
      <c r="J10" s="51"/>
      <c r="K10" s="52"/>
      <c r="L10" s="52">
        <f>4*49</f>
        <v>196</v>
      </c>
      <c r="M10" s="52">
        <f>3*49</f>
        <v>147</v>
      </c>
      <c r="P10" t="s">
        <v>111</v>
      </c>
      <c r="R10" t="s">
        <v>112</v>
      </c>
    </row>
    <row r="11" spans="1:18">
      <c r="A11" s="131"/>
      <c r="B11" s="134"/>
      <c r="C11" s="5" t="s">
        <v>66</v>
      </c>
      <c r="D11" s="9">
        <v>35</v>
      </c>
      <c r="E11" s="49">
        <v>156</v>
      </c>
      <c r="F11" s="96">
        <v>122</v>
      </c>
      <c r="G11" s="88">
        <f t="shared" si="1"/>
        <v>0.32758620689655171</v>
      </c>
      <c r="H11" s="14">
        <f t="shared" si="1"/>
        <v>0.2988505747126437</v>
      </c>
      <c r="I11" s="126"/>
      <c r="J11" s="51"/>
      <c r="K11" s="52"/>
      <c r="L11" s="52">
        <f>4*58</f>
        <v>232</v>
      </c>
      <c r="M11" s="52">
        <f>3*58</f>
        <v>174</v>
      </c>
    </row>
    <row r="12" spans="1:18">
      <c r="A12" s="131"/>
      <c r="B12" s="134"/>
      <c r="C12" s="5" t="s">
        <v>67</v>
      </c>
      <c r="D12" s="9">
        <v>15</v>
      </c>
      <c r="E12" s="49">
        <v>164</v>
      </c>
      <c r="F12" s="96">
        <v>129</v>
      </c>
      <c r="G12" s="88">
        <f t="shared" si="1"/>
        <v>0.32786885245901637</v>
      </c>
      <c r="H12" s="14">
        <f t="shared" si="1"/>
        <v>0.29508196721311475</v>
      </c>
      <c r="I12" s="126"/>
      <c r="J12" s="51"/>
      <c r="K12" s="52"/>
      <c r="L12" s="52">
        <f>4*61</f>
        <v>244</v>
      </c>
      <c r="M12" s="52">
        <f>3*61</f>
        <v>183</v>
      </c>
    </row>
    <row r="13" spans="1:18">
      <c r="A13" s="131"/>
      <c r="B13" s="134"/>
      <c r="C13" s="5" t="s">
        <v>9</v>
      </c>
      <c r="D13" s="9">
        <v>28</v>
      </c>
      <c r="E13" s="49">
        <v>186</v>
      </c>
      <c r="F13" s="96">
        <v>146</v>
      </c>
      <c r="G13" s="88">
        <f t="shared" si="1"/>
        <v>0.32608695652173914</v>
      </c>
      <c r="H13" s="14">
        <f t="shared" si="1"/>
        <v>0.29468599033816423</v>
      </c>
      <c r="I13" s="126"/>
      <c r="J13" s="51"/>
      <c r="K13" s="52"/>
      <c r="L13" s="52">
        <f>4*69</f>
        <v>276</v>
      </c>
      <c r="M13" s="52">
        <f>3*69</f>
        <v>207</v>
      </c>
    </row>
    <row r="14" spans="1:18" ht="16" thickBot="1">
      <c r="A14" s="132"/>
      <c r="B14" s="135"/>
      <c r="C14" s="6" t="s">
        <v>68</v>
      </c>
      <c r="D14" s="10">
        <v>67</v>
      </c>
      <c r="E14" s="97">
        <v>202</v>
      </c>
      <c r="F14" s="98">
        <v>158</v>
      </c>
      <c r="G14" s="89">
        <f t="shared" si="1"/>
        <v>0.32666666666666666</v>
      </c>
      <c r="H14" s="26">
        <f t="shared" si="1"/>
        <v>0.29777777777777775</v>
      </c>
      <c r="I14" s="127"/>
      <c r="J14" s="51"/>
      <c r="K14" s="52"/>
      <c r="L14" s="52">
        <f>4*75</f>
        <v>300</v>
      </c>
      <c r="M14" s="52">
        <f>3*75</f>
        <v>225</v>
      </c>
    </row>
    <row r="15" spans="1:18" ht="16" thickBot="1">
      <c r="A15" s="18" t="s">
        <v>4</v>
      </c>
      <c r="B15" s="19" t="s">
        <v>127</v>
      </c>
      <c r="C15" s="56"/>
      <c r="D15" s="21">
        <v>5</v>
      </c>
      <c r="E15" s="57">
        <f>(30+30+20+0)-2-2</f>
        <v>76</v>
      </c>
      <c r="F15" s="58">
        <f>(30+20+20)-2</f>
        <v>68</v>
      </c>
      <c r="G15" s="86">
        <f>(L15-E15)/L15</f>
        <v>0.36666666666666664</v>
      </c>
      <c r="H15" s="22">
        <f>(M15-F15)/M15</f>
        <v>0.24444444444444444</v>
      </c>
      <c r="I15" s="59">
        <f>AVERAGE(G15,H15)</f>
        <v>0.30555555555555552</v>
      </c>
      <c r="J15" s="51"/>
      <c r="K15" s="52"/>
      <c r="L15" s="52">
        <f>4*30</f>
        <v>120</v>
      </c>
      <c r="M15" s="52">
        <f>3*30</f>
        <v>90</v>
      </c>
    </row>
    <row r="16" spans="1:18" ht="16" thickBot="1">
      <c r="A16" s="18" t="s">
        <v>61</v>
      </c>
      <c r="B16" s="28" t="s">
        <v>34</v>
      </c>
      <c r="C16" s="60"/>
      <c r="D16" s="21">
        <v>1</v>
      </c>
      <c r="E16" s="57">
        <f>20+20+13+0</f>
        <v>53</v>
      </c>
      <c r="F16" s="58">
        <f>20+13+13</f>
        <v>46</v>
      </c>
      <c r="G16" s="86">
        <f t="shared" ref="G16:H20" si="3">(L16-E16)/L16</f>
        <v>0.33750000000000002</v>
      </c>
      <c r="H16" s="22">
        <f t="shared" ref="H16:H17" si="4">(M16-F16)/M16</f>
        <v>0.23333333333333334</v>
      </c>
      <c r="I16" s="59">
        <f>AVERAGE(G16:H16)</f>
        <v>0.28541666666666665</v>
      </c>
      <c r="J16" s="51" t="s">
        <v>37</v>
      </c>
      <c r="K16" s="52"/>
      <c r="L16" s="52">
        <f>4*20</f>
        <v>80</v>
      </c>
      <c r="M16" s="52">
        <f>3*20</f>
        <v>60</v>
      </c>
    </row>
    <row r="17" spans="1:16" ht="16" thickBot="1">
      <c r="A17" s="47" t="s">
        <v>3</v>
      </c>
      <c r="B17" s="7" t="s">
        <v>11</v>
      </c>
      <c r="C17" s="48"/>
      <c r="D17" s="8">
        <v>7</v>
      </c>
      <c r="E17" s="53">
        <f>(49+49+29+29)-((49+49+29+29)*0.1)-(0.4)</f>
        <v>140</v>
      </c>
      <c r="F17" s="54">
        <f>(49+42+29)-((49+42+29)*0.1)</f>
        <v>108</v>
      </c>
      <c r="G17" s="90">
        <f t="shared" si="3"/>
        <v>0.2857142857142857</v>
      </c>
      <c r="H17" s="36">
        <f t="shared" si="4"/>
        <v>0.26530612244897961</v>
      </c>
      <c r="I17" s="55">
        <f>AVERAGE(G17,H17)</f>
        <v>0.27551020408163263</v>
      </c>
      <c r="J17" s="51"/>
      <c r="K17" s="52"/>
      <c r="L17" s="52">
        <f>4*49</f>
        <v>196</v>
      </c>
      <c r="M17" s="52">
        <f>3*49</f>
        <v>147</v>
      </c>
    </row>
    <row r="18" spans="1:16">
      <c r="A18" s="130" t="s">
        <v>62</v>
      </c>
      <c r="B18" s="133" t="s">
        <v>128</v>
      </c>
      <c r="C18" s="27" t="s">
        <v>69</v>
      </c>
      <c r="D18" s="13">
        <v>5</v>
      </c>
      <c r="E18" s="99">
        <f>42+42+23+0</f>
        <v>107</v>
      </c>
      <c r="F18" s="100">
        <f>42+38+23</f>
        <v>103</v>
      </c>
      <c r="G18" s="87">
        <f t="shared" si="3"/>
        <v>0.36309523809523808</v>
      </c>
      <c r="H18" s="25">
        <f t="shared" si="3"/>
        <v>0.18253968253968253</v>
      </c>
      <c r="I18" s="125">
        <f>AVERAGE(G18:H20)</f>
        <v>0.26975690080528786</v>
      </c>
      <c r="J18" s="51"/>
      <c r="K18" s="52"/>
      <c r="L18" s="52">
        <f>4*42</f>
        <v>168</v>
      </c>
      <c r="M18" s="52">
        <f>3*42</f>
        <v>126</v>
      </c>
      <c r="P18" t="s">
        <v>113</v>
      </c>
    </row>
    <row r="19" spans="1:16">
      <c r="A19" s="131"/>
      <c r="B19" s="134"/>
      <c r="C19" s="15" t="s">
        <v>70</v>
      </c>
      <c r="D19" s="9">
        <v>35</v>
      </c>
      <c r="E19" s="101">
        <f>62+62+35+0</f>
        <v>159</v>
      </c>
      <c r="F19" s="102">
        <f>62+56+35</f>
        <v>153</v>
      </c>
      <c r="G19" s="88">
        <f t="shared" si="3"/>
        <v>0.3588709677419355</v>
      </c>
      <c r="H19" s="14">
        <f t="shared" si="3"/>
        <v>0.17741935483870969</v>
      </c>
      <c r="I19" s="126"/>
      <c r="J19" s="51"/>
      <c r="K19" s="52"/>
      <c r="L19" s="52">
        <f>4*62</f>
        <v>248</v>
      </c>
      <c r="M19" s="52">
        <f>3*62</f>
        <v>186</v>
      </c>
    </row>
    <row r="20" spans="1:16" ht="16" thickBot="1">
      <c r="A20" s="132"/>
      <c r="B20" s="135"/>
      <c r="C20" s="17" t="s">
        <v>68</v>
      </c>
      <c r="D20" s="10">
        <v>50</v>
      </c>
      <c r="E20" s="97">
        <f>66+66+37+0</f>
        <v>169</v>
      </c>
      <c r="F20" s="103">
        <f>66+60+37</f>
        <v>163</v>
      </c>
      <c r="G20" s="89">
        <f t="shared" si="3"/>
        <v>0.35984848484848486</v>
      </c>
      <c r="H20" s="26">
        <f t="shared" si="3"/>
        <v>0.17676767676767677</v>
      </c>
      <c r="I20" s="127"/>
      <c r="J20" s="51"/>
      <c r="K20" s="52"/>
      <c r="L20" s="52">
        <f>4*66</f>
        <v>264</v>
      </c>
      <c r="M20" s="52">
        <f>3*66</f>
        <v>198</v>
      </c>
    </row>
    <row r="21" spans="1:16" ht="16" thickBot="1">
      <c r="A21" s="18" t="s">
        <v>3</v>
      </c>
      <c r="B21" s="28" t="s">
        <v>129</v>
      </c>
      <c r="C21" s="60"/>
      <c r="D21" s="21">
        <v>12</v>
      </c>
      <c r="E21" s="57">
        <f>52+52+26+26</f>
        <v>156</v>
      </c>
      <c r="F21" s="58">
        <f>52+35+26</f>
        <v>113</v>
      </c>
      <c r="G21" s="86">
        <f>(L21-E21)/L21</f>
        <v>0.25</v>
      </c>
      <c r="H21" s="22">
        <f>(M21-F21)/M21</f>
        <v>0.27564102564102566</v>
      </c>
      <c r="I21" s="59">
        <f>AVERAGE(G21,H21)</f>
        <v>0.26282051282051283</v>
      </c>
      <c r="J21" s="51"/>
      <c r="K21" s="52"/>
      <c r="L21" s="52">
        <f>4*52</f>
        <v>208</v>
      </c>
      <c r="M21" s="52">
        <f>3*52</f>
        <v>156</v>
      </c>
      <c r="P21" t="s">
        <v>108</v>
      </c>
    </row>
    <row r="22" spans="1:16">
      <c r="A22" s="122" t="s">
        <v>61</v>
      </c>
      <c r="B22" s="116" t="s">
        <v>130</v>
      </c>
      <c r="C22" s="5" t="s">
        <v>121</v>
      </c>
      <c r="D22" s="9">
        <v>11</v>
      </c>
      <c r="E22" s="101">
        <f>35+35+23+0</f>
        <v>93</v>
      </c>
      <c r="F22" s="102">
        <f>35+32+23</f>
        <v>90</v>
      </c>
      <c r="G22" s="91">
        <f t="shared" ref="G22:H31" si="5">(L22-E22)/L22</f>
        <v>0.33571428571428569</v>
      </c>
      <c r="H22" s="11">
        <f t="shared" si="5"/>
        <v>0.14285714285714285</v>
      </c>
      <c r="I22" s="125">
        <f>AVERAGE(G22:H28)</f>
        <v>0.25472301092446176</v>
      </c>
      <c r="J22" s="51"/>
      <c r="K22" s="52"/>
      <c r="L22" s="52">
        <f>4*35</f>
        <v>140</v>
      </c>
      <c r="M22" s="52">
        <f>3*35</f>
        <v>105</v>
      </c>
    </row>
    <row r="23" spans="1:16">
      <c r="A23" s="123"/>
      <c r="B23" s="117"/>
      <c r="C23" s="5" t="s">
        <v>25</v>
      </c>
      <c r="D23" s="9">
        <v>6</v>
      </c>
      <c r="E23" s="101">
        <f>45+45+27+0</f>
        <v>117</v>
      </c>
      <c r="F23" s="102">
        <f>45+41+27</f>
        <v>113</v>
      </c>
      <c r="G23" s="91">
        <f t="shared" si="5"/>
        <v>0.35</v>
      </c>
      <c r="H23" s="11">
        <f t="shared" si="5"/>
        <v>0.16296296296296298</v>
      </c>
      <c r="I23" s="126"/>
      <c r="J23" s="51"/>
      <c r="K23" s="52"/>
      <c r="L23" s="52">
        <f>4*45</f>
        <v>180</v>
      </c>
      <c r="M23" s="52">
        <f>3*45</f>
        <v>135</v>
      </c>
    </row>
    <row r="24" spans="1:16">
      <c r="A24" s="123"/>
      <c r="B24" s="117"/>
      <c r="C24" s="5" t="s">
        <v>5</v>
      </c>
      <c r="D24" s="9">
        <v>9</v>
      </c>
      <c r="E24" s="101">
        <f>48+48+29+0</f>
        <v>125</v>
      </c>
      <c r="F24" s="102">
        <f>48+43+29</f>
        <v>120</v>
      </c>
      <c r="G24" s="91">
        <f t="shared" si="5"/>
        <v>0.34895833333333331</v>
      </c>
      <c r="H24" s="11">
        <f t="shared" si="5"/>
        <v>0.16666666666666666</v>
      </c>
      <c r="I24" s="126"/>
      <c r="J24" s="51"/>
      <c r="K24" s="52"/>
      <c r="L24" s="52">
        <f>4*48</f>
        <v>192</v>
      </c>
      <c r="M24" s="52">
        <f>3*48</f>
        <v>144</v>
      </c>
    </row>
    <row r="25" spans="1:16">
      <c r="A25" s="123"/>
      <c r="B25" s="117"/>
      <c r="C25" s="5" t="s">
        <v>63</v>
      </c>
      <c r="D25" s="9">
        <v>20</v>
      </c>
      <c r="E25" s="49">
        <f>51+51+31+0</f>
        <v>133</v>
      </c>
      <c r="F25" s="50">
        <f>51+46+31</f>
        <v>128</v>
      </c>
      <c r="G25" s="91">
        <f t="shared" si="5"/>
        <v>0.34803921568627449</v>
      </c>
      <c r="H25" s="11">
        <f t="shared" si="5"/>
        <v>0.16339869281045752</v>
      </c>
      <c r="I25" s="126"/>
      <c r="J25" s="51"/>
      <c r="K25" s="52"/>
      <c r="L25" s="52">
        <f>4*51</f>
        <v>204</v>
      </c>
      <c r="M25" s="52">
        <f>3*51</f>
        <v>153</v>
      </c>
    </row>
    <row r="26" spans="1:16">
      <c r="A26" s="123"/>
      <c r="B26" s="117"/>
      <c r="C26" s="5" t="s">
        <v>71</v>
      </c>
      <c r="D26" s="9">
        <v>32</v>
      </c>
      <c r="E26" s="104">
        <f>53+53+32+0</f>
        <v>138</v>
      </c>
      <c r="F26" s="105">
        <f>53+48+32</f>
        <v>133</v>
      </c>
      <c r="G26" s="91">
        <f t="shared" si="5"/>
        <v>0.34905660377358488</v>
      </c>
      <c r="H26" s="11">
        <f t="shared" si="5"/>
        <v>0.16352201257861634</v>
      </c>
      <c r="I26" s="126"/>
      <c r="J26" s="51"/>
      <c r="K26" s="52"/>
      <c r="L26" s="52">
        <f>4*53</f>
        <v>212</v>
      </c>
      <c r="M26" s="52">
        <f>3*53</f>
        <v>159</v>
      </c>
    </row>
    <row r="27" spans="1:16">
      <c r="A27" s="123"/>
      <c r="B27" s="117"/>
      <c r="C27" s="5" t="s">
        <v>122</v>
      </c>
      <c r="D27" s="9">
        <v>10</v>
      </c>
      <c r="E27" s="101">
        <f>62+62+37+0</f>
        <v>161</v>
      </c>
      <c r="F27" s="102">
        <f>62+56+37</f>
        <v>155</v>
      </c>
      <c r="G27" s="91">
        <f t="shared" si="5"/>
        <v>0.35080645161290325</v>
      </c>
      <c r="H27" s="11">
        <f t="shared" si="5"/>
        <v>0.16666666666666666</v>
      </c>
      <c r="I27" s="126"/>
      <c r="J27" s="51"/>
      <c r="K27" s="52"/>
      <c r="L27" s="52">
        <f>4*62</f>
        <v>248</v>
      </c>
      <c r="M27" s="52">
        <f>3*62</f>
        <v>186</v>
      </c>
    </row>
    <row r="28" spans="1:16" ht="16" thickBot="1">
      <c r="A28" s="124"/>
      <c r="B28" s="118"/>
      <c r="C28" s="6" t="s">
        <v>68</v>
      </c>
      <c r="D28" s="10">
        <v>63</v>
      </c>
      <c r="E28" s="106">
        <f>62+62+37+0</f>
        <v>161</v>
      </c>
      <c r="F28" s="107">
        <f>62+56+37</f>
        <v>155</v>
      </c>
      <c r="G28" s="89">
        <f t="shared" si="5"/>
        <v>0.35080645161290325</v>
      </c>
      <c r="H28" s="26">
        <f t="shared" si="5"/>
        <v>0.16666666666666666</v>
      </c>
      <c r="I28" s="127"/>
      <c r="J28" s="51"/>
      <c r="K28" s="52"/>
      <c r="L28" s="52">
        <f>4*62</f>
        <v>248</v>
      </c>
      <c r="M28" s="52">
        <f>3*62</f>
        <v>186</v>
      </c>
    </row>
    <row r="29" spans="1:16">
      <c r="A29" s="122" t="s">
        <v>3</v>
      </c>
      <c r="B29" s="116" t="s">
        <v>131</v>
      </c>
      <c r="C29" s="30" t="s">
        <v>12</v>
      </c>
      <c r="D29" s="31">
        <v>7</v>
      </c>
      <c r="E29" s="94">
        <f>(50+50+30+30)-(30*0.15)-(30*0.15)</f>
        <v>151</v>
      </c>
      <c r="F29" s="95">
        <f>(50+43+30)-(43*0.15)-(30*0.15)</f>
        <v>112.05</v>
      </c>
      <c r="G29" s="92">
        <f t="shared" si="5"/>
        <v>0.245</v>
      </c>
      <c r="H29" s="29">
        <f t="shared" si="5"/>
        <v>0.253</v>
      </c>
      <c r="I29" s="125">
        <f>AVERAGE(G29:H31)</f>
        <v>0.25056864623243941</v>
      </c>
      <c r="J29" s="51"/>
      <c r="K29" s="52"/>
      <c r="L29" s="52">
        <f>4*50</f>
        <v>200</v>
      </c>
      <c r="M29" s="52">
        <f>3*50</f>
        <v>150</v>
      </c>
      <c r="P29" t="s">
        <v>107</v>
      </c>
    </row>
    <row r="30" spans="1:16">
      <c r="A30" s="123"/>
      <c r="B30" s="117"/>
      <c r="C30" s="16" t="s">
        <v>76</v>
      </c>
      <c r="D30" s="12">
        <v>13</v>
      </c>
      <c r="E30" s="49">
        <f>(54+54+32+32)-(32*0.15)-(32*0.15)</f>
        <v>162.39999999999998</v>
      </c>
      <c r="F30" s="96">
        <f>(54+46+32)-(46*0.15)-(32*0.15)</f>
        <v>120.3</v>
      </c>
      <c r="G30" s="91">
        <f t="shared" si="5"/>
        <v>0.24814814814814826</v>
      </c>
      <c r="H30" s="11">
        <f t="shared" si="5"/>
        <v>0.25740740740740742</v>
      </c>
      <c r="I30" s="126"/>
      <c r="J30" s="51"/>
      <c r="K30" s="52"/>
      <c r="L30" s="52">
        <f>4*54</f>
        <v>216</v>
      </c>
      <c r="M30" s="52">
        <f>3*54</f>
        <v>162</v>
      </c>
    </row>
    <row r="31" spans="1:16" ht="16" thickBot="1">
      <c r="A31" s="124"/>
      <c r="B31" s="118"/>
      <c r="C31" s="65" t="s">
        <v>77</v>
      </c>
      <c r="D31" s="38">
        <v>38</v>
      </c>
      <c r="E31" s="97">
        <f>(58+58+35+35)-(35*0.15)-(35*0.15)</f>
        <v>175.5</v>
      </c>
      <c r="F31" s="98">
        <f>(58+49+35)-(49*0.15)-(35*0.15)</f>
        <v>129.4</v>
      </c>
      <c r="G31" s="89">
        <f t="shared" si="5"/>
        <v>0.24353448275862069</v>
      </c>
      <c r="H31" s="26">
        <f t="shared" si="5"/>
        <v>0.25632183908045975</v>
      </c>
      <c r="I31" s="127"/>
      <c r="J31" s="51"/>
      <c r="K31" s="52"/>
      <c r="L31" s="52">
        <f>4*58</f>
        <v>232</v>
      </c>
      <c r="M31" s="52">
        <f>3*58</f>
        <v>174</v>
      </c>
    </row>
    <row r="32" spans="1:16" ht="16" thickBot="1">
      <c r="A32" s="18" t="s">
        <v>4</v>
      </c>
      <c r="B32" s="19" t="s">
        <v>13</v>
      </c>
      <c r="C32" s="56"/>
      <c r="D32" s="21">
        <v>9</v>
      </c>
      <c r="E32" s="61">
        <f>((32+32+22+22)-(32+32+22+22)*0.1)</f>
        <v>97.2</v>
      </c>
      <c r="F32" s="62">
        <f>((32+26+22)-((32+26+22)*0.1))</f>
        <v>72</v>
      </c>
      <c r="G32" s="93">
        <f>(L32-E32)/L32</f>
        <v>0.24062499999999998</v>
      </c>
      <c r="H32" s="22">
        <f>(M32-F32)/M32</f>
        <v>0.25</v>
      </c>
      <c r="I32" s="23">
        <f>AVERAGE(G32,H32)</f>
        <v>0.24531249999999999</v>
      </c>
      <c r="J32" s="43"/>
      <c r="K32" s="44"/>
      <c r="L32" s="44">
        <f>4*32</f>
        <v>128</v>
      </c>
      <c r="M32" s="44">
        <f>3*32</f>
        <v>96</v>
      </c>
      <c r="O32" s="44"/>
      <c r="P32" t="s">
        <v>109</v>
      </c>
    </row>
    <row r="33" spans="1:22" ht="16" thickBot="1">
      <c r="A33" s="18" t="s">
        <v>4</v>
      </c>
      <c r="B33" s="19" t="s">
        <v>90</v>
      </c>
      <c r="C33" s="56"/>
      <c r="D33" s="21">
        <v>5</v>
      </c>
      <c r="E33" s="57">
        <f>37+37+17+17</f>
        <v>108</v>
      </c>
      <c r="F33" s="58">
        <f>37+33+17</f>
        <v>87</v>
      </c>
      <c r="G33" s="93">
        <f t="shared" ref="G33:H46" si="6">(L33-E33)/L33</f>
        <v>0.27027027027027029</v>
      </c>
      <c r="H33" s="22">
        <f t="shared" ref="H33:H40" si="7">(M33-F33)/M33</f>
        <v>0.21621621621621623</v>
      </c>
      <c r="I33" s="59">
        <f>AVERAGE(G33,H33)</f>
        <v>0.24324324324324326</v>
      </c>
      <c r="J33" s="43"/>
      <c r="K33" s="44"/>
      <c r="L33" s="44">
        <f>4*37</f>
        <v>148</v>
      </c>
      <c r="M33" s="44">
        <f>3*37</f>
        <v>111</v>
      </c>
      <c r="O33" s="2" t="s">
        <v>87</v>
      </c>
    </row>
    <row r="34" spans="1:22" ht="16" thickBot="1">
      <c r="A34" s="18" t="s">
        <v>3</v>
      </c>
      <c r="B34" s="66" t="s">
        <v>132</v>
      </c>
      <c r="C34" s="67"/>
      <c r="D34" s="21">
        <v>17</v>
      </c>
      <c r="E34" s="68">
        <f>65+65+36+36</f>
        <v>202</v>
      </c>
      <c r="F34" s="64">
        <f>65+49+36</f>
        <v>150</v>
      </c>
      <c r="G34" s="93">
        <f t="shared" si="6"/>
        <v>0.22307692307692309</v>
      </c>
      <c r="H34" s="22">
        <f t="shared" si="7"/>
        <v>0.23076923076923078</v>
      </c>
      <c r="I34" s="23">
        <f>AVERAGE(G34,H34)</f>
        <v>0.22692307692307695</v>
      </c>
      <c r="J34" s="43"/>
      <c r="K34" s="44"/>
      <c r="L34" s="44">
        <f>65*4</f>
        <v>260</v>
      </c>
      <c r="M34" s="44">
        <f>65*3</f>
        <v>195</v>
      </c>
    </row>
    <row r="35" spans="1:22" ht="16" thickBot="1">
      <c r="A35" s="18" t="s">
        <v>4</v>
      </c>
      <c r="B35" s="19" t="s">
        <v>88</v>
      </c>
      <c r="C35" s="56"/>
      <c r="D35" s="21">
        <v>4</v>
      </c>
      <c r="E35" s="61">
        <f>(37+37+23+23)-6</f>
        <v>114</v>
      </c>
      <c r="F35" s="62">
        <f>(37+33+23)-6</f>
        <v>87</v>
      </c>
      <c r="G35" s="93">
        <f t="shared" si="6"/>
        <v>0.22972972972972974</v>
      </c>
      <c r="H35" s="22">
        <f t="shared" si="7"/>
        <v>0.21621621621621623</v>
      </c>
      <c r="I35" s="63">
        <f>AVERAGE(G35,H35)</f>
        <v>0.22297297297297297</v>
      </c>
      <c r="J35" s="43"/>
      <c r="K35" s="44"/>
      <c r="L35" s="44">
        <f>4*37</f>
        <v>148</v>
      </c>
      <c r="M35" s="44">
        <f>3*37</f>
        <v>111</v>
      </c>
      <c r="O35" s="2" t="s">
        <v>87</v>
      </c>
    </row>
    <row r="36" spans="1:22" ht="16" thickBot="1">
      <c r="A36" s="18" t="s">
        <v>4</v>
      </c>
      <c r="B36" s="19" t="s">
        <v>86</v>
      </c>
      <c r="C36" s="56"/>
      <c r="D36" s="21">
        <v>4</v>
      </c>
      <c r="E36" s="68">
        <f>37+37+19+19</f>
        <v>112</v>
      </c>
      <c r="F36" s="58">
        <f>37+34+19</f>
        <v>90</v>
      </c>
      <c r="G36" s="93">
        <f t="shared" si="6"/>
        <v>0.24324324324324326</v>
      </c>
      <c r="H36" s="22">
        <f t="shared" si="7"/>
        <v>0.1891891891891892</v>
      </c>
      <c r="I36" s="23">
        <f>AVERAGE(G36,H36)</f>
        <v>0.21621621621621623</v>
      </c>
      <c r="J36" s="43"/>
      <c r="K36" s="44"/>
      <c r="L36" s="44">
        <f>4*37</f>
        <v>148</v>
      </c>
      <c r="M36" s="44">
        <f>3*37</f>
        <v>111</v>
      </c>
      <c r="O36" s="2" t="s">
        <v>87</v>
      </c>
    </row>
    <row r="37" spans="1:22" ht="16" thickBot="1">
      <c r="A37" s="18" t="s">
        <v>3</v>
      </c>
      <c r="B37" s="20" t="s">
        <v>84</v>
      </c>
      <c r="C37" s="20" t="s">
        <v>83</v>
      </c>
      <c r="D37" s="21">
        <v>12</v>
      </c>
      <c r="E37" s="68">
        <f>40+40+26+26</f>
        <v>132</v>
      </c>
      <c r="F37" s="62">
        <f>40+26+26</f>
        <v>92</v>
      </c>
      <c r="G37" s="93">
        <f t="shared" si="6"/>
        <v>0.17499999999999999</v>
      </c>
      <c r="H37" s="22">
        <f t="shared" si="7"/>
        <v>0.23333333333333334</v>
      </c>
      <c r="I37" s="69">
        <f>AVERAGE(G37:H37)</f>
        <v>0.20416666666666666</v>
      </c>
      <c r="J37" s="43"/>
      <c r="K37" s="44"/>
      <c r="L37" s="44">
        <f>4*40</f>
        <v>160</v>
      </c>
      <c r="M37" s="44">
        <f>3*40</f>
        <v>120</v>
      </c>
    </row>
    <row r="38" spans="1:22" ht="16" thickBot="1">
      <c r="A38" s="18" t="s">
        <v>61</v>
      </c>
      <c r="B38" s="19" t="s">
        <v>7</v>
      </c>
      <c r="C38" s="56"/>
      <c r="D38" s="21">
        <v>5</v>
      </c>
      <c r="E38" s="57">
        <f>35+35+18+18</f>
        <v>106</v>
      </c>
      <c r="F38" s="58">
        <f>35+35+18</f>
        <v>88</v>
      </c>
      <c r="G38" s="93">
        <f t="shared" si="6"/>
        <v>0.24285714285714285</v>
      </c>
      <c r="H38" s="22">
        <f t="shared" si="7"/>
        <v>0.16190476190476191</v>
      </c>
      <c r="I38" s="23">
        <f>AVERAGE(G38,H38)</f>
        <v>0.20238095238095238</v>
      </c>
      <c r="J38" s="43"/>
      <c r="K38" s="44"/>
      <c r="L38" s="44">
        <f>4*35</f>
        <v>140</v>
      </c>
      <c r="M38" s="44">
        <f>3*35</f>
        <v>105</v>
      </c>
    </row>
    <row r="39" spans="1:22" ht="16" thickBot="1">
      <c r="A39" s="18" t="s">
        <v>4</v>
      </c>
      <c r="B39" s="19" t="s">
        <v>98</v>
      </c>
      <c r="C39" s="56"/>
      <c r="D39" s="21">
        <v>1</v>
      </c>
      <c r="E39" s="68">
        <f>18+18+12+12</f>
        <v>60</v>
      </c>
      <c r="F39" s="64">
        <f>18+12+12</f>
        <v>42</v>
      </c>
      <c r="G39" s="93">
        <f t="shared" si="6"/>
        <v>0.16666666666666666</v>
      </c>
      <c r="H39" s="22">
        <f t="shared" si="7"/>
        <v>0.22222222222222221</v>
      </c>
      <c r="I39" s="23">
        <f>AVERAGE(G39,H39)</f>
        <v>0.19444444444444442</v>
      </c>
      <c r="J39" s="43" t="s">
        <v>45</v>
      </c>
      <c r="K39" s="44"/>
      <c r="L39" s="44">
        <f>4*18</f>
        <v>72</v>
      </c>
      <c r="M39" s="44">
        <f>3*18</f>
        <v>54</v>
      </c>
      <c r="O39" t="s">
        <v>89</v>
      </c>
      <c r="R39" t="s">
        <v>114</v>
      </c>
    </row>
    <row r="40" spans="1:22" ht="16" thickBot="1">
      <c r="A40" s="18" t="s">
        <v>61</v>
      </c>
      <c r="B40" s="19" t="s">
        <v>6</v>
      </c>
      <c r="C40" s="56"/>
      <c r="D40" s="21">
        <v>4</v>
      </c>
      <c r="E40" s="61">
        <f>24+24+13+13</f>
        <v>74</v>
      </c>
      <c r="F40" s="62">
        <f>24+24+13</f>
        <v>61</v>
      </c>
      <c r="G40" s="93">
        <f t="shared" si="6"/>
        <v>0.22916666666666666</v>
      </c>
      <c r="H40" s="22">
        <f t="shared" si="7"/>
        <v>0.15277777777777779</v>
      </c>
      <c r="I40" s="23">
        <f>AVERAGE(G40,H40)</f>
        <v>0.19097222222222221</v>
      </c>
      <c r="J40" s="43"/>
      <c r="K40" s="44"/>
      <c r="L40" s="44">
        <f>4*24</f>
        <v>96</v>
      </c>
      <c r="M40" s="44">
        <f>3*24</f>
        <v>72</v>
      </c>
    </row>
    <row r="41" spans="1:22">
      <c r="A41" s="122" t="s">
        <v>64</v>
      </c>
      <c r="B41" s="116" t="s">
        <v>65</v>
      </c>
      <c r="C41" s="24" t="s">
        <v>118</v>
      </c>
      <c r="D41" s="31">
        <v>14</v>
      </c>
      <c r="E41" s="94">
        <f>31+31+23+23</f>
        <v>108</v>
      </c>
      <c r="F41" s="108">
        <f>34+31+26</f>
        <v>91</v>
      </c>
      <c r="G41" s="92">
        <f t="shared" si="6"/>
        <v>0.20588235294117646</v>
      </c>
      <c r="H41" s="29">
        <f t="shared" si="6"/>
        <v>0.10784313725490197</v>
      </c>
      <c r="I41" s="119">
        <f>AVERAGE(G42:H46)</f>
        <v>0.17401474187188473</v>
      </c>
      <c r="J41" s="43"/>
      <c r="K41" s="44"/>
      <c r="L41" s="44">
        <f>4*34</f>
        <v>136</v>
      </c>
      <c r="M41" s="44">
        <f>3*34</f>
        <v>102</v>
      </c>
      <c r="P41" t="s">
        <v>110</v>
      </c>
    </row>
    <row r="42" spans="1:22" ht="16">
      <c r="A42" s="123"/>
      <c r="B42" s="117"/>
      <c r="C42" s="5" t="s">
        <v>92</v>
      </c>
      <c r="D42" s="12">
        <v>12</v>
      </c>
      <c r="E42" s="49">
        <f>35+35+24+24</f>
        <v>118</v>
      </c>
      <c r="F42" s="113" t="s">
        <v>138</v>
      </c>
      <c r="G42" s="91">
        <f t="shared" si="6"/>
        <v>0.24358974358974358</v>
      </c>
      <c r="H42" s="11">
        <f>(M42-V42)/M42</f>
        <v>0.13675213675213677</v>
      </c>
      <c r="I42" s="120"/>
      <c r="J42" s="43"/>
      <c r="K42" s="44"/>
      <c r="L42" s="44">
        <f>4*39</f>
        <v>156</v>
      </c>
      <c r="M42" s="44">
        <f>3*39</f>
        <v>117</v>
      </c>
      <c r="V42" s="50">
        <v>101</v>
      </c>
    </row>
    <row r="43" spans="1:22" ht="16">
      <c r="A43" s="123"/>
      <c r="B43" s="117"/>
      <c r="C43" s="5" t="s">
        <v>117</v>
      </c>
      <c r="D43" s="12">
        <v>50</v>
      </c>
      <c r="E43" s="49">
        <f>40+40+28+28</f>
        <v>136</v>
      </c>
      <c r="F43" s="113" t="s">
        <v>140</v>
      </c>
      <c r="G43" s="91">
        <f t="shared" si="6"/>
        <v>0.22727272727272727</v>
      </c>
      <c r="H43" s="11">
        <f t="shared" ref="H43:H45" si="8">(M43-V43)/M43</f>
        <v>0.12878787878787878</v>
      </c>
      <c r="I43" s="120"/>
      <c r="J43" s="43"/>
      <c r="K43" s="44"/>
      <c r="L43" s="44">
        <f>4*44</f>
        <v>176</v>
      </c>
      <c r="M43" s="44">
        <f>3*44</f>
        <v>132</v>
      </c>
      <c r="V43" s="50">
        <v>115</v>
      </c>
    </row>
    <row r="44" spans="1:22">
      <c r="A44" s="123"/>
      <c r="B44" s="117"/>
      <c r="C44" s="5" t="s">
        <v>116</v>
      </c>
      <c r="D44" s="12">
        <v>45</v>
      </c>
      <c r="E44" s="49">
        <f>40+40+30+30</f>
        <v>140</v>
      </c>
      <c r="F44" s="113" t="s">
        <v>141</v>
      </c>
      <c r="G44" s="91">
        <f t="shared" si="6"/>
        <v>0.20454545454545456</v>
      </c>
      <c r="H44" s="11">
        <f t="shared" si="8"/>
        <v>0.11363636363636363</v>
      </c>
      <c r="I44" s="120"/>
      <c r="J44" s="43"/>
      <c r="K44" s="44"/>
      <c r="L44" s="44">
        <f>4*44</f>
        <v>176</v>
      </c>
      <c r="M44" s="44">
        <f>3*44</f>
        <v>132</v>
      </c>
      <c r="V44" s="50">
        <f>44+40+33</f>
        <v>117</v>
      </c>
    </row>
    <row r="45" spans="1:22" ht="16">
      <c r="A45" s="123"/>
      <c r="B45" s="117"/>
      <c r="C45" s="7" t="s">
        <v>91</v>
      </c>
      <c r="D45" s="35">
        <v>27</v>
      </c>
      <c r="E45" s="53">
        <f>44+44+31+31</f>
        <v>150</v>
      </c>
      <c r="F45" s="113" t="s">
        <v>139</v>
      </c>
      <c r="G45" s="90">
        <f>(L45-E45)/L45</f>
        <v>0.23469387755102042</v>
      </c>
      <c r="H45" s="11">
        <f t="shared" si="8"/>
        <v>0.1360544217687075</v>
      </c>
      <c r="I45" s="120"/>
      <c r="J45" s="70"/>
      <c r="K45" s="44"/>
      <c r="L45" s="44">
        <f>4*49</f>
        <v>196</v>
      </c>
      <c r="M45" s="44">
        <f>3*49</f>
        <v>147</v>
      </c>
      <c r="V45" s="54">
        <v>127</v>
      </c>
    </row>
    <row r="46" spans="1:22" ht="16" thickBot="1">
      <c r="A46" s="124"/>
      <c r="B46" s="118"/>
      <c r="C46" s="6" t="s">
        <v>68</v>
      </c>
      <c r="D46" s="10">
        <v>187</v>
      </c>
      <c r="E46" s="97">
        <f>49+49+37+37</f>
        <v>172</v>
      </c>
      <c r="F46" s="103">
        <f>54+49+41</f>
        <v>144</v>
      </c>
      <c r="G46" s="89">
        <f t="shared" si="6"/>
        <v>0.20370370370370369</v>
      </c>
      <c r="H46" s="26">
        <f t="shared" si="6"/>
        <v>0.1111111111111111</v>
      </c>
      <c r="I46" s="121"/>
      <c r="J46" s="43"/>
      <c r="K46" s="44"/>
      <c r="L46" s="44">
        <f>4*54</f>
        <v>216</v>
      </c>
      <c r="M46" s="44">
        <f>3*54</f>
        <v>162</v>
      </c>
    </row>
    <row r="47" spans="1:22" ht="16" thickBot="1">
      <c r="A47" s="18" t="s">
        <v>3</v>
      </c>
      <c r="B47" s="19" t="s">
        <v>94</v>
      </c>
      <c r="C47" s="56"/>
      <c r="D47" s="21">
        <v>1</v>
      </c>
      <c r="E47" s="68">
        <f>15+15+9+9</f>
        <v>48</v>
      </c>
      <c r="F47" s="64">
        <f>15+15+9</f>
        <v>39</v>
      </c>
      <c r="G47" s="93">
        <f t="shared" ref="G47:H47" si="9">(L47-E47)/L47</f>
        <v>0.2</v>
      </c>
      <c r="H47" s="22">
        <f t="shared" si="9"/>
        <v>0.13333333333333333</v>
      </c>
      <c r="I47" s="23">
        <f>AVERAGE(G47,H47)</f>
        <v>0.16666666666666669</v>
      </c>
      <c r="J47" s="43" t="s">
        <v>42</v>
      </c>
      <c r="K47" s="44"/>
      <c r="L47" s="44">
        <f>4*15</f>
        <v>60</v>
      </c>
      <c r="M47" s="44">
        <f>3*15</f>
        <v>45</v>
      </c>
    </row>
    <row r="48" spans="1:22" ht="16" thickBot="1">
      <c r="A48" s="18" t="s">
        <v>4</v>
      </c>
      <c r="B48" s="19" t="s">
        <v>24</v>
      </c>
      <c r="C48" s="56"/>
      <c r="D48" s="21">
        <v>3</v>
      </c>
      <c r="E48" s="68">
        <f>26+26+18+18</f>
        <v>88</v>
      </c>
      <c r="F48" s="58">
        <f>26+20+18</f>
        <v>64</v>
      </c>
      <c r="G48" s="93">
        <f t="shared" ref="G48:G50" si="10">(L48-E48)/L48</f>
        <v>0.15384615384615385</v>
      </c>
      <c r="H48" s="22">
        <f t="shared" ref="H48:H50" si="11">(M48-F48)/M48</f>
        <v>0.17948717948717949</v>
      </c>
      <c r="I48" s="23">
        <f>AVERAGE(G48,H48)</f>
        <v>0.16666666666666669</v>
      </c>
      <c r="J48" s="43"/>
      <c r="K48" s="44"/>
      <c r="L48" s="44">
        <f>4*26</f>
        <v>104</v>
      </c>
      <c r="M48" s="44">
        <f>3*26</f>
        <v>78</v>
      </c>
    </row>
    <row r="49" spans="1:21" ht="16" thickBot="1">
      <c r="A49" s="18" t="s">
        <v>3</v>
      </c>
      <c r="B49" s="72" t="s">
        <v>120</v>
      </c>
      <c r="C49" s="73"/>
      <c r="D49" s="21">
        <v>3</v>
      </c>
      <c r="E49" s="61">
        <f>28+28+19+19</f>
        <v>94</v>
      </c>
      <c r="F49" s="62">
        <f>28+28+19</f>
        <v>75</v>
      </c>
      <c r="G49" s="93">
        <f t="shared" si="10"/>
        <v>0.16071428571428573</v>
      </c>
      <c r="H49" s="22">
        <f t="shared" si="11"/>
        <v>0.10714285714285714</v>
      </c>
      <c r="I49" s="74">
        <f>AVERAGE(G49:H49)</f>
        <v>0.13392857142857142</v>
      </c>
      <c r="J49" s="43"/>
      <c r="K49" s="44"/>
      <c r="L49" s="44">
        <f>4*28</f>
        <v>112</v>
      </c>
      <c r="M49" s="44">
        <f>3*28</f>
        <v>84</v>
      </c>
    </row>
    <row r="50" spans="1:21" ht="16" thickBot="1">
      <c r="A50" s="18" t="s">
        <v>3</v>
      </c>
      <c r="B50" s="19" t="s">
        <v>35</v>
      </c>
      <c r="C50" s="56"/>
      <c r="D50" s="21">
        <v>1</v>
      </c>
      <c r="E50" s="61">
        <f>14+14+10+10</f>
        <v>48</v>
      </c>
      <c r="F50" s="64">
        <f>14+14+10</f>
        <v>38</v>
      </c>
      <c r="G50" s="93">
        <f t="shared" si="10"/>
        <v>0.14285714285714285</v>
      </c>
      <c r="H50" s="22">
        <f t="shared" si="11"/>
        <v>9.5238095238095233E-2</v>
      </c>
      <c r="I50" s="23">
        <f>AVERAGE(G50,H50)</f>
        <v>0.11904761904761904</v>
      </c>
      <c r="J50" s="43" t="s">
        <v>43</v>
      </c>
      <c r="K50" s="44"/>
      <c r="L50" s="44">
        <f>4*14</f>
        <v>56</v>
      </c>
      <c r="M50" s="44">
        <f>3*14</f>
        <v>42</v>
      </c>
    </row>
    <row r="51" spans="1:21" ht="17" thickBot="1">
      <c r="A51" s="18" t="s">
        <v>61</v>
      </c>
      <c r="B51" s="19" t="s">
        <v>32</v>
      </c>
      <c r="C51" s="56"/>
      <c r="D51" s="21">
        <v>1</v>
      </c>
      <c r="E51" s="114">
        <f>20+20+15+15</f>
        <v>70</v>
      </c>
      <c r="F51" s="115" t="s">
        <v>142</v>
      </c>
      <c r="G51" s="93">
        <f t="shared" ref="G51" si="12">(L51-E51)/L51</f>
        <v>0.125</v>
      </c>
      <c r="H51" s="22">
        <f>(M51-U51)/M51</f>
        <v>8.3333333333333329E-2</v>
      </c>
      <c r="I51" s="23">
        <f>AVERAGE(G51,H51)</f>
        <v>0.10416666666666666</v>
      </c>
      <c r="J51" s="43" t="s">
        <v>38</v>
      </c>
      <c r="K51" s="44"/>
      <c r="L51" s="44">
        <f>4*20</f>
        <v>80</v>
      </c>
      <c r="M51" s="44">
        <f>3*20</f>
        <v>60</v>
      </c>
      <c r="U51" s="62">
        <f>20+20+15</f>
        <v>55</v>
      </c>
    </row>
    <row r="52" spans="1:21" ht="26" thickBot="1">
      <c r="A52" s="137" t="s">
        <v>104</v>
      </c>
      <c r="B52" s="138"/>
      <c r="C52" s="138"/>
      <c r="D52" s="138"/>
      <c r="E52" s="138"/>
      <c r="F52" s="138"/>
      <c r="G52" s="138"/>
      <c r="H52" s="138"/>
      <c r="I52" s="139"/>
      <c r="J52" s="3"/>
    </row>
    <row r="53" spans="1:21" ht="16" thickBot="1">
      <c r="A53" s="18" t="s">
        <v>61</v>
      </c>
      <c r="B53" s="19" t="s">
        <v>78</v>
      </c>
      <c r="C53" s="56" t="s">
        <v>124</v>
      </c>
      <c r="D53" s="21">
        <v>9</v>
      </c>
      <c r="E53" s="61">
        <v>70</v>
      </c>
      <c r="F53" s="64">
        <v>52</v>
      </c>
      <c r="G53" s="93">
        <f t="shared" ref="G53:H53" si="13">(L53-E53)/L53</f>
        <v>0.35185185185185186</v>
      </c>
      <c r="H53" s="22">
        <f t="shared" si="13"/>
        <v>0.35802469135802467</v>
      </c>
      <c r="I53" s="23">
        <f t="shared" ref="I53:I71" si="14">AVERAGE(G53,H53)</f>
        <v>0.35493827160493829</v>
      </c>
      <c r="J53" s="43" t="s">
        <v>40</v>
      </c>
      <c r="K53" s="44"/>
      <c r="L53" s="44">
        <f>4*27</f>
        <v>108</v>
      </c>
      <c r="M53" s="44">
        <f>3*27</f>
        <v>81</v>
      </c>
      <c r="P53" t="s">
        <v>109</v>
      </c>
    </row>
    <row r="54" spans="1:21" ht="16" thickBot="1">
      <c r="A54" s="77" t="s">
        <v>2</v>
      </c>
      <c r="B54" s="19" t="s">
        <v>17</v>
      </c>
      <c r="C54" s="56"/>
      <c r="D54" s="21">
        <v>1</v>
      </c>
      <c r="E54" s="57">
        <v>48</v>
      </c>
      <c r="F54" s="58">
        <v>34</v>
      </c>
      <c r="G54" s="86">
        <f t="shared" ref="G54:G76" si="15">(L54-E54)/L54</f>
        <v>0.33333333333333331</v>
      </c>
      <c r="H54" s="22">
        <f t="shared" ref="H54:H76" si="16">(M54-F54)/M54</f>
        <v>0.37037037037037035</v>
      </c>
      <c r="I54" s="59">
        <f>AVERAGE(G54,H54)</f>
        <v>0.35185185185185186</v>
      </c>
      <c r="J54" s="43" t="s">
        <v>51</v>
      </c>
      <c r="K54" s="44"/>
      <c r="L54" s="44">
        <f>4*18</f>
        <v>72</v>
      </c>
      <c r="M54" s="44">
        <f>3*18</f>
        <v>54</v>
      </c>
      <c r="P54" t="s">
        <v>109</v>
      </c>
    </row>
    <row r="55" spans="1:21" ht="16" thickBot="1">
      <c r="A55" s="18" t="s">
        <v>1</v>
      </c>
      <c r="B55" s="19" t="s">
        <v>133</v>
      </c>
      <c r="C55" s="56"/>
      <c r="D55" s="21">
        <v>6</v>
      </c>
      <c r="E55" s="57">
        <f>33+33+19+19</f>
        <v>104</v>
      </c>
      <c r="F55" s="58">
        <f>33+19+19</f>
        <v>71</v>
      </c>
      <c r="G55" s="93">
        <f t="shared" si="15"/>
        <v>0.27777777777777779</v>
      </c>
      <c r="H55" s="22">
        <f t="shared" si="16"/>
        <v>0.34259259259259262</v>
      </c>
      <c r="I55" s="23">
        <f t="shared" si="14"/>
        <v>0.31018518518518523</v>
      </c>
      <c r="J55" s="43"/>
      <c r="K55" s="44"/>
      <c r="L55" s="44">
        <f>4*36</f>
        <v>144</v>
      </c>
      <c r="M55" s="44">
        <f>3*36</f>
        <v>108</v>
      </c>
      <c r="P55" t="s">
        <v>108</v>
      </c>
    </row>
    <row r="56" spans="1:21" ht="16" thickBot="1">
      <c r="A56" s="18" t="s">
        <v>61</v>
      </c>
      <c r="B56" s="19" t="s">
        <v>100</v>
      </c>
      <c r="C56" s="56"/>
      <c r="D56" s="21">
        <v>1</v>
      </c>
      <c r="E56" s="61">
        <f>23+23+13+13</f>
        <v>72</v>
      </c>
      <c r="F56" s="62">
        <f>23+13+13</f>
        <v>49</v>
      </c>
      <c r="G56" s="93">
        <f t="shared" si="15"/>
        <v>0.21739130434782608</v>
      </c>
      <c r="H56" s="78">
        <f t="shared" si="16"/>
        <v>0.28985507246376813</v>
      </c>
      <c r="I56" s="63">
        <f>AVERAGE(G56,H56)</f>
        <v>0.25362318840579712</v>
      </c>
      <c r="J56" s="43" t="s">
        <v>39</v>
      </c>
      <c r="K56" s="44"/>
      <c r="L56" s="44">
        <f>4*23</f>
        <v>92</v>
      </c>
      <c r="M56" s="44">
        <f>3*23</f>
        <v>69</v>
      </c>
    </row>
    <row r="57" spans="1:21" ht="17" thickBot="1">
      <c r="A57" s="18" t="s">
        <v>101</v>
      </c>
      <c r="B57" s="19" t="s">
        <v>143</v>
      </c>
      <c r="C57" s="56"/>
      <c r="D57" s="21">
        <v>1</v>
      </c>
      <c r="E57" s="57">
        <v>54</v>
      </c>
      <c r="F57" s="58">
        <v>37</v>
      </c>
      <c r="G57" s="86">
        <f t="shared" si="15"/>
        <v>0.20588235294117646</v>
      </c>
      <c r="H57" s="22">
        <f t="shared" si="16"/>
        <v>0.27450980392156865</v>
      </c>
      <c r="I57" s="59">
        <f>AVERAGE(G57,H57)</f>
        <v>0.24019607843137256</v>
      </c>
      <c r="J57" s="43" t="s">
        <v>55</v>
      </c>
      <c r="K57" s="44"/>
      <c r="L57" s="44">
        <f>4*17</f>
        <v>68</v>
      </c>
      <c r="M57" s="44">
        <f>3*17</f>
        <v>51</v>
      </c>
    </row>
    <row r="58" spans="1:21" ht="16" thickBot="1">
      <c r="A58" s="79" t="s">
        <v>101</v>
      </c>
      <c r="B58" s="80" t="s">
        <v>19</v>
      </c>
      <c r="C58" s="81"/>
      <c r="D58" s="82">
        <v>2</v>
      </c>
      <c r="E58" s="83">
        <f>29+29+12+12</f>
        <v>82</v>
      </c>
      <c r="F58" s="84">
        <f>29+24+18</f>
        <v>71</v>
      </c>
      <c r="G58" s="109">
        <f t="shared" si="15"/>
        <v>0.29310344827586204</v>
      </c>
      <c r="H58" s="25">
        <f t="shared" si="16"/>
        <v>0.18390804597701149</v>
      </c>
      <c r="I58" s="34">
        <f t="shared" si="14"/>
        <v>0.23850574712643677</v>
      </c>
      <c r="J58" s="75"/>
      <c r="K58" s="76"/>
      <c r="L58" s="76">
        <f>4*29</f>
        <v>116</v>
      </c>
      <c r="M58" s="76">
        <f>3*29</f>
        <v>87</v>
      </c>
      <c r="N58" s="37"/>
      <c r="O58" s="37"/>
      <c r="P58" t="s">
        <v>119</v>
      </c>
    </row>
    <row r="59" spans="1:21" ht="16" thickBot="1">
      <c r="A59" s="18" t="s">
        <v>101</v>
      </c>
      <c r="B59" s="19" t="s">
        <v>27</v>
      </c>
      <c r="C59" s="56"/>
      <c r="D59" s="21">
        <v>1</v>
      </c>
      <c r="E59" s="68">
        <f>5+5+3+3</f>
        <v>16</v>
      </c>
      <c r="F59" s="64">
        <f>5+3+3</f>
        <v>11</v>
      </c>
      <c r="G59" s="93">
        <f t="shared" si="15"/>
        <v>0.2</v>
      </c>
      <c r="H59" s="22">
        <f t="shared" si="16"/>
        <v>0.26666666666666666</v>
      </c>
      <c r="I59" s="23">
        <f t="shared" si="14"/>
        <v>0.23333333333333334</v>
      </c>
      <c r="J59" s="43" t="s">
        <v>53</v>
      </c>
      <c r="K59" s="44"/>
      <c r="L59" s="44">
        <f>4*5</f>
        <v>20</v>
      </c>
      <c r="M59" s="44">
        <f>3*5</f>
        <v>15</v>
      </c>
    </row>
    <row r="60" spans="1:21" ht="16" thickBot="1">
      <c r="A60" s="18" t="s">
        <v>1</v>
      </c>
      <c r="B60" s="19" t="s">
        <v>99</v>
      </c>
      <c r="C60" s="56"/>
      <c r="D60" s="21">
        <v>1</v>
      </c>
      <c r="E60" s="57">
        <f>(24+24+15+15)-8</f>
        <v>70</v>
      </c>
      <c r="F60" s="58">
        <f>24+20+15</f>
        <v>59</v>
      </c>
      <c r="G60" s="86">
        <f t="shared" si="15"/>
        <v>0.27083333333333331</v>
      </c>
      <c r="H60" s="22">
        <f t="shared" si="16"/>
        <v>0.18055555555555555</v>
      </c>
      <c r="I60" s="59">
        <f>AVERAGE(G60,H60)</f>
        <v>0.22569444444444442</v>
      </c>
      <c r="J60" s="43" t="s">
        <v>46</v>
      </c>
      <c r="K60" s="44"/>
      <c r="L60" s="44">
        <f>4*24</f>
        <v>96</v>
      </c>
      <c r="M60" s="44">
        <f>3*24</f>
        <v>72</v>
      </c>
      <c r="N60" s="46"/>
      <c r="O60" s="44"/>
    </row>
    <row r="61" spans="1:21" ht="16" thickBot="1">
      <c r="A61" s="77" t="s">
        <v>2</v>
      </c>
      <c r="B61" s="19" t="s">
        <v>16</v>
      </c>
      <c r="C61" s="56"/>
      <c r="D61" s="21">
        <v>1</v>
      </c>
      <c r="E61" s="61">
        <f>21+21+13+13</f>
        <v>68</v>
      </c>
      <c r="F61" s="62">
        <f>21+13+13</f>
        <v>47</v>
      </c>
      <c r="G61" s="93">
        <f t="shared" si="15"/>
        <v>0.19047619047619047</v>
      </c>
      <c r="H61" s="22">
        <f t="shared" si="16"/>
        <v>0.25396825396825395</v>
      </c>
      <c r="I61" s="23">
        <f>AVERAGE(G61,H61)</f>
        <v>0.22222222222222221</v>
      </c>
      <c r="J61" s="43" t="s">
        <v>52</v>
      </c>
      <c r="K61" s="44"/>
      <c r="L61" s="44">
        <f>4*21</f>
        <v>84</v>
      </c>
      <c r="M61" s="44">
        <f>3*21</f>
        <v>63</v>
      </c>
    </row>
    <row r="62" spans="1:21" ht="16" thickBot="1">
      <c r="A62" s="18" t="s">
        <v>101</v>
      </c>
      <c r="B62" s="19" t="s">
        <v>28</v>
      </c>
      <c r="C62" s="56"/>
      <c r="D62" s="21">
        <v>1</v>
      </c>
      <c r="E62" s="68">
        <f>25+25+15+12</f>
        <v>77</v>
      </c>
      <c r="F62" s="64">
        <f>25+22+12</f>
        <v>59</v>
      </c>
      <c r="G62" s="93">
        <f t="shared" si="15"/>
        <v>0.23</v>
      </c>
      <c r="H62" s="22">
        <f t="shared" si="16"/>
        <v>0.21333333333333335</v>
      </c>
      <c r="I62" s="23">
        <f t="shared" si="14"/>
        <v>0.22166666666666668</v>
      </c>
      <c r="J62" s="43" t="s">
        <v>56</v>
      </c>
      <c r="K62" s="44"/>
      <c r="L62" s="44">
        <f>4*25</f>
        <v>100</v>
      </c>
      <c r="M62" s="44">
        <f>3*25</f>
        <v>75</v>
      </c>
    </row>
    <row r="63" spans="1:21" ht="16" thickBot="1">
      <c r="A63" s="18" t="s">
        <v>61</v>
      </c>
      <c r="B63" s="32" t="s">
        <v>93</v>
      </c>
      <c r="C63" s="85"/>
      <c r="D63" s="33">
        <v>7</v>
      </c>
      <c r="E63" s="68">
        <f>32+32+17+17</f>
        <v>98</v>
      </c>
      <c r="F63" s="62">
        <f>32+29+17</f>
        <v>78</v>
      </c>
      <c r="G63" s="93">
        <f t="shared" si="15"/>
        <v>0.234375</v>
      </c>
      <c r="H63" s="22">
        <f t="shared" si="16"/>
        <v>0.1875</v>
      </c>
      <c r="I63" s="23">
        <f t="shared" si="14"/>
        <v>0.2109375</v>
      </c>
      <c r="J63" s="43"/>
      <c r="K63" s="44"/>
      <c r="L63" s="44">
        <f>4*32</f>
        <v>128</v>
      </c>
      <c r="M63" s="44">
        <f>3*32</f>
        <v>96</v>
      </c>
    </row>
    <row r="64" spans="1:21" ht="16" thickBot="1">
      <c r="A64" s="18" t="s">
        <v>1</v>
      </c>
      <c r="B64" s="19" t="s">
        <v>21</v>
      </c>
      <c r="C64" s="56"/>
      <c r="D64" s="21">
        <v>1</v>
      </c>
      <c r="E64" s="68">
        <f>10+10+5+5</f>
        <v>30</v>
      </c>
      <c r="F64" s="64">
        <f>10+10+5</f>
        <v>25</v>
      </c>
      <c r="G64" s="93">
        <f t="shared" si="15"/>
        <v>0.25</v>
      </c>
      <c r="H64" s="22">
        <f t="shared" si="16"/>
        <v>0.16666666666666666</v>
      </c>
      <c r="I64" s="23">
        <f t="shared" si="14"/>
        <v>0.20833333333333331</v>
      </c>
      <c r="J64" s="43" t="s">
        <v>48</v>
      </c>
      <c r="K64" s="44"/>
      <c r="L64" s="44">
        <f>4*10</f>
        <v>40</v>
      </c>
      <c r="M64" s="44">
        <f>3*10</f>
        <v>30</v>
      </c>
    </row>
    <row r="65" spans="1:16" ht="16" thickBot="1">
      <c r="A65" s="18" t="s">
        <v>101</v>
      </c>
      <c r="B65" s="19" t="s">
        <v>29</v>
      </c>
      <c r="C65" s="56"/>
      <c r="D65" s="21">
        <v>1</v>
      </c>
      <c r="E65" s="57">
        <v>30</v>
      </c>
      <c r="F65" s="58">
        <v>25</v>
      </c>
      <c r="G65" s="86">
        <f t="shared" si="15"/>
        <v>0.25</v>
      </c>
      <c r="H65" s="22">
        <f t="shared" si="16"/>
        <v>0.16666666666666666</v>
      </c>
      <c r="I65" s="59">
        <f>AVERAGE(G65,H65)</f>
        <v>0.20833333333333331</v>
      </c>
      <c r="J65" s="43" t="s">
        <v>57</v>
      </c>
      <c r="K65" s="44"/>
      <c r="L65" s="44">
        <f>4*10</f>
        <v>40</v>
      </c>
      <c r="M65" s="44">
        <f>3*10</f>
        <v>30</v>
      </c>
    </row>
    <row r="66" spans="1:16" ht="16" thickBot="1">
      <c r="A66" s="18" t="s">
        <v>101</v>
      </c>
      <c r="B66" s="19" t="s">
        <v>18</v>
      </c>
      <c r="C66" s="56"/>
      <c r="D66" s="21">
        <v>2</v>
      </c>
      <c r="E66" s="68">
        <f>28+28+18+18</f>
        <v>92</v>
      </c>
      <c r="F66" s="64">
        <f>28+18+18</f>
        <v>64</v>
      </c>
      <c r="G66" s="93">
        <f t="shared" si="15"/>
        <v>0.17857142857142858</v>
      </c>
      <c r="H66" s="22">
        <f t="shared" si="16"/>
        <v>0.23809523809523808</v>
      </c>
      <c r="I66" s="23">
        <f t="shared" si="14"/>
        <v>0.20833333333333331</v>
      </c>
      <c r="J66" s="43"/>
      <c r="K66" s="44"/>
      <c r="L66" s="44">
        <f>4*28</f>
        <v>112</v>
      </c>
      <c r="M66" s="44">
        <f>3*28</f>
        <v>84</v>
      </c>
      <c r="P66" t="s">
        <v>109</v>
      </c>
    </row>
    <row r="67" spans="1:16" ht="16" thickBot="1">
      <c r="A67" s="18" t="s">
        <v>1</v>
      </c>
      <c r="B67" s="19" t="s">
        <v>15</v>
      </c>
      <c r="C67" s="56"/>
      <c r="D67" s="21">
        <v>2</v>
      </c>
      <c r="E67" s="68">
        <f>28+28+18+9</f>
        <v>83</v>
      </c>
      <c r="F67" s="64">
        <f>28+25+18</f>
        <v>71</v>
      </c>
      <c r="G67" s="93">
        <f t="shared" si="15"/>
        <v>0.25892857142857145</v>
      </c>
      <c r="H67" s="22">
        <f t="shared" si="16"/>
        <v>0.15476190476190477</v>
      </c>
      <c r="I67" s="23">
        <f t="shared" si="14"/>
        <v>0.20684523809523811</v>
      </c>
      <c r="J67" s="43"/>
      <c r="K67" s="44"/>
      <c r="L67" s="44">
        <f>4*28</f>
        <v>112</v>
      </c>
      <c r="M67" s="44">
        <f>3*28</f>
        <v>84</v>
      </c>
    </row>
    <row r="68" spans="1:16" ht="16" thickBot="1">
      <c r="A68" s="18" t="s">
        <v>1</v>
      </c>
      <c r="B68" s="19" t="s">
        <v>22</v>
      </c>
      <c r="C68" s="56"/>
      <c r="D68" s="21">
        <v>2</v>
      </c>
      <c r="E68" s="68">
        <f>25+25+15+15</f>
        <v>80</v>
      </c>
      <c r="F68" s="64">
        <f>25+20+15</f>
        <v>60</v>
      </c>
      <c r="G68" s="93">
        <f t="shared" si="15"/>
        <v>0.2</v>
      </c>
      <c r="H68" s="22">
        <f t="shared" si="16"/>
        <v>0.2</v>
      </c>
      <c r="I68" s="23">
        <f t="shared" si="14"/>
        <v>0.2</v>
      </c>
      <c r="J68" s="43"/>
      <c r="K68" s="44"/>
      <c r="L68" s="44">
        <f>4*25</f>
        <v>100</v>
      </c>
      <c r="M68" s="44">
        <f>3*25</f>
        <v>75</v>
      </c>
      <c r="O68" s="44"/>
      <c r="P68" t="s">
        <v>109</v>
      </c>
    </row>
    <row r="69" spans="1:16" ht="16" thickBot="1">
      <c r="A69" s="18" t="s">
        <v>1</v>
      </c>
      <c r="B69" s="19" t="s">
        <v>14</v>
      </c>
      <c r="C69" s="56"/>
      <c r="D69" s="21">
        <v>4</v>
      </c>
      <c r="E69" s="68">
        <f>30+30+20+20</f>
        <v>100</v>
      </c>
      <c r="F69" s="64">
        <f>30+20+20</f>
        <v>70</v>
      </c>
      <c r="G69" s="93">
        <f t="shared" si="15"/>
        <v>0.16666666666666666</v>
      </c>
      <c r="H69" s="22">
        <f t="shared" si="16"/>
        <v>0.22222222222222221</v>
      </c>
      <c r="I69" s="23">
        <f t="shared" si="14"/>
        <v>0.19444444444444442</v>
      </c>
      <c r="J69" s="43"/>
      <c r="K69" s="44"/>
      <c r="L69" s="44">
        <f>30*4</f>
        <v>120</v>
      </c>
      <c r="M69" s="44">
        <f>30*3</f>
        <v>90</v>
      </c>
      <c r="O69" s="44"/>
      <c r="P69" t="s">
        <v>109</v>
      </c>
    </row>
    <row r="70" spans="1:16" ht="16" thickBot="1">
      <c r="A70" s="18" t="s">
        <v>1</v>
      </c>
      <c r="B70" s="19" t="s">
        <v>20</v>
      </c>
      <c r="C70" s="56"/>
      <c r="D70" s="21">
        <v>1</v>
      </c>
      <c r="E70" s="68">
        <f>20+20+11+11</f>
        <v>62</v>
      </c>
      <c r="F70" s="64">
        <f>20+20+11</f>
        <v>51</v>
      </c>
      <c r="G70" s="93">
        <f t="shared" si="15"/>
        <v>0.22500000000000001</v>
      </c>
      <c r="H70" s="22">
        <f t="shared" si="16"/>
        <v>0.15</v>
      </c>
      <c r="I70" s="23">
        <f t="shared" si="14"/>
        <v>0.1875</v>
      </c>
      <c r="J70" s="43" t="s">
        <v>49</v>
      </c>
      <c r="K70" s="44"/>
      <c r="L70" s="44">
        <f>4*20</f>
        <v>80</v>
      </c>
      <c r="M70" s="44">
        <f>3*20</f>
        <v>60</v>
      </c>
    </row>
    <row r="71" spans="1:16" ht="16" thickBot="1">
      <c r="A71" s="18" t="s">
        <v>1</v>
      </c>
      <c r="B71" s="19" t="s">
        <v>31</v>
      </c>
      <c r="C71" s="56"/>
      <c r="D71" s="21">
        <v>1</v>
      </c>
      <c r="E71" s="68">
        <f>20+20+14+14</f>
        <v>68</v>
      </c>
      <c r="F71" s="64">
        <f>20+14+14</f>
        <v>48</v>
      </c>
      <c r="G71" s="93">
        <f t="shared" si="15"/>
        <v>0.15</v>
      </c>
      <c r="H71" s="22">
        <f t="shared" si="16"/>
        <v>0.2</v>
      </c>
      <c r="I71" s="23">
        <f t="shared" si="14"/>
        <v>0.17499999999999999</v>
      </c>
      <c r="J71" s="43" t="s">
        <v>47</v>
      </c>
      <c r="K71" s="44"/>
      <c r="L71" s="44">
        <f>20*4</f>
        <v>80</v>
      </c>
      <c r="M71" s="44">
        <f>20*3</f>
        <v>60</v>
      </c>
      <c r="O71" s="2" t="s">
        <v>95</v>
      </c>
      <c r="P71" s="2"/>
    </row>
    <row r="72" spans="1:16" ht="16" thickBot="1">
      <c r="A72" s="18" t="s">
        <v>61</v>
      </c>
      <c r="B72" s="19" t="s">
        <v>33</v>
      </c>
      <c r="C72" s="56"/>
      <c r="D72" s="21">
        <v>1</v>
      </c>
      <c r="E72" s="61">
        <f>17+17+12+12</f>
        <v>58</v>
      </c>
      <c r="F72" s="62">
        <f>17+12+12</f>
        <v>41</v>
      </c>
      <c r="G72" s="93">
        <f t="shared" si="15"/>
        <v>0.14705882352941177</v>
      </c>
      <c r="H72" s="78">
        <f t="shared" si="16"/>
        <v>0.19607843137254902</v>
      </c>
      <c r="I72" s="63">
        <f>AVERAGE(G72,H72)</f>
        <v>0.17156862745098039</v>
      </c>
      <c r="J72" s="43" t="s">
        <v>41</v>
      </c>
      <c r="K72" s="44"/>
      <c r="L72" s="44">
        <f>4*17</f>
        <v>68</v>
      </c>
      <c r="M72" s="44">
        <f>3*17</f>
        <v>51</v>
      </c>
    </row>
    <row r="73" spans="1:16" ht="16" thickBot="1">
      <c r="A73" s="47" t="s">
        <v>1</v>
      </c>
      <c r="B73" s="7" t="s">
        <v>30</v>
      </c>
      <c r="C73" s="48"/>
      <c r="D73" s="8">
        <v>1</v>
      </c>
      <c r="E73" s="71">
        <f>10+10+7+7</f>
        <v>34</v>
      </c>
      <c r="F73" s="54">
        <f>10+10+7</f>
        <v>27</v>
      </c>
      <c r="G73" s="90">
        <f t="shared" si="15"/>
        <v>0.15</v>
      </c>
      <c r="H73" s="36">
        <f t="shared" si="16"/>
        <v>0.1</v>
      </c>
      <c r="I73" s="55">
        <f>AVERAGE(G73,H73)</f>
        <v>0.125</v>
      </c>
      <c r="J73" s="43" t="s">
        <v>50</v>
      </c>
      <c r="K73" s="44"/>
      <c r="L73" s="44">
        <f>4*10</f>
        <v>40</v>
      </c>
      <c r="M73" s="44">
        <f>3*10</f>
        <v>30</v>
      </c>
      <c r="P73" t="s">
        <v>109</v>
      </c>
    </row>
    <row r="74" spans="1:16">
      <c r="A74" s="122" t="s">
        <v>102</v>
      </c>
      <c r="B74" s="116" t="s">
        <v>79</v>
      </c>
      <c r="C74" s="24" t="s">
        <v>81</v>
      </c>
      <c r="D74" s="13">
        <v>2</v>
      </c>
      <c r="E74" s="94">
        <f>25+25+17.5+17.5</f>
        <v>85</v>
      </c>
      <c r="F74" s="108">
        <f>25+25+17.5</f>
        <v>67.5</v>
      </c>
      <c r="G74" s="110">
        <f t="shared" si="15"/>
        <v>0.15</v>
      </c>
      <c r="H74" s="29">
        <f t="shared" si="16"/>
        <v>0.1</v>
      </c>
      <c r="I74" s="119">
        <f>AVERAGE(G74:H76)</f>
        <v>0.1184475806451613</v>
      </c>
      <c r="J74" s="3"/>
      <c r="L74" s="45">
        <f>4*25</f>
        <v>100</v>
      </c>
      <c r="M74" s="45">
        <f>3*25</f>
        <v>75</v>
      </c>
      <c r="P74" t="s">
        <v>106</v>
      </c>
    </row>
    <row r="75" spans="1:16">
      <c r="A75" s="123"/>
      <c r="B75" s="117"/>
      <c r="C75" s="5" t="s">
        <v>80</v>
      </c>
      <c r="D75" s="9">
        <v>8</v>
      </c>
      <c r="E75" s="49">
        <f>31+31+22+22</f>
        <v>106</v>
      </c>
      <c r="F75" s="50">
        <f>31+31+22</f>
        <v>84</v>
      </c>
      <c r="G75" s="111">
        <f t="shared" si="15"/>
        <v>0.14516129032258066</v>
      </c>
      <c r="H75" s="11">
        <f t="shared" si="16"/>
        <v>9.6774193548387094E-2</v>
      </c>
      <c r="I75" s="120"/>
      <c r="J75" s="3"/>
      <c r="L75" s="45">
        <f>4*31</f>
        <v>124</v>
      </c>
      <c r="M75" s="45">
        <f>3*31</f>
        <v>93</v>
      </c>
    </row>
    <row r="76" spans="1:16" ht="16" thickBot="1">
      <c r="A76" s="124"/>
      <c r="B76" s="118"/>
      <c r="C76" s="6" t="s">
        <v>82</v>
      </c>
      <c r="D76" s="10">
        <v>20</v>
      </c>
      <c r="E76" s="97">
        <f>40+40+29.5+29.5</f>
        <v>139</v>
      </c>
      <c r="F76" s="103">
        <f>40+40+29.5</f>
        <v>109.5</v>
      </c>
      <c r="G76" s="112">
        <f t="shared" si="15"/>
        <v>0.13125000000000001</v>
      </c>
      <c r="H76" s="26">
        <f t="shared" si="16"/>
        <v>8.7499999999999994E-2</v>
      </c>
      <c r="I76" s="121"/>
      <c r="J76" s="3"/>
      <c r="L76" s="45">
        <f>4*40</f>
        <v>160</v>
      </c>
      <c r="M76" s="45">
        <f>3*40</f>
        <v>120</v>
      </c>
    </row>
    <row r="77" spans="1:16" ht="16" thickBot="1">
      <c r="A77" s="18" t="s">
        <v>61</v>
      </c>
      <c r="B77" s="19" t="s">
        <v>8</v>
      </c>
      <c r="C77" s="56"/>
      <c r="D77" s="21">
        <v>2</v>
      </c>
      <c r="E77" s="68">
        <f>20+20+15+15</f>
        <v>70</v>
      </c>
      <c r="F77" s="58">
        <f>20+20+15</f>
        <v>55</v>
      </c>
      <c r="G77" s="93">
        <f>(L77-E77)/L77</f>
        <v>0.125</v>
      </c>
      <c r="H77" s="22">
        <f>(M77-F77)/M77</f>
        <v>8.3333333333333329E-2</v>
      </c>
      <c r="I77" s="23">
        <f>AVERAGE(G77,H77)</f>
        <v>0.10416666666666666</v>
      </c>
      <c r="J77" s="43"/>
      <c r="K77" s="44"/>
      <c r="L77" s="44">
        <f>4*20</f>
        <v>80</v>
      </c>
      <c r="M77" s="44">
        <f>3*20</f>
        <v>60</v>
      </c>
    </row>
    <row r="78" spans="1:16" ht="16" thickBot="1">
      <c r="A78" s="18" t="s">
        <v>101</v>
      </c>
      <c r="B78" s="19" t="s">
        <v>23</v>
      </c>
      <c r="C78" s="56"/>
      <c r="D78" s="21">
        <v>1</v>
      </c>
      <c r="E78" s="68">
        <f>16+16+13+13</f>
        <v>58</v>
      </c>
      <c r="F78" s="64">
        <f>16+16+13</f>
        <v>45</v>
      </c>
      <c r="G78" s="93">
        <f>(L78-E78)/L78</f>
        <v>9.375E-2</v>
      </c>
      <c r="H78" s="22">
        <f>(M78-F78)/M78</f>
        <v>6.25E-2</v>
      </c>
      <c r="I78" s="23">
        <f>AVERAGE(G78,H78)</f>
        <v>7.8125E-2</v>
      </c>
      <c r="J78" s="43" t="s">
        <v>54</v>
      </c>
      <c r="K78" s="44"/>
      <c r="L78" s="44">
        <f>4*16</f>
        <v>64</v>
      </c>
      <c r="M78" s="44">
        <f>3*16</f>
        <v>48</v>
      </c>
      <c r="P78" t="s">
        <v>109</v>
      </c>
    </row>
    <row r="79" spans="1:16" ht="74" customHeight="1">
      <c r="A79" s="136" t="s">
        <v>134</v>
      </c>
      <c r="B79" s="136"/>
      <c r="C79" s="136"/>
      <c r="D79" s="136"/>
      <c r="E79" s="136"/>
      <c r="F79" s="136"/>
      <c r="G79" s="136"/>
      <c r="H79" s="136"/>
      <c r="I79" s="136"/>
      <c r="J79" s="3"/>
    </row>
  </sheetData>
  <mergeCells count="30">
    <mergeCell ref="A79:I79"/>
    <mergeCell ref="A5:I5"/>
    <mergeCell ref="A52:I52"/>
    <mergeCell ref="A1:I1"/>
    <mergeCell ref="A2:I2"/>
    <mergeCell ref="A3:A4"/>
    <mergeCell ref="B3:B4"/>
    <mergeCell ref="D3:D4"/>
    <mergeCell ref="E3:F3"/>
    <mergeCell ref="G3:H3"/>
    <mergeCell ref="I3:I4"/>
    <mergeCell ref="A10:A14"/>
    <mergeCell ref="B10:B14"/>
    <mergeCell ref="I10:I14"/>
    <mergeCell ref="A74:A76"/>
    <mergeCell ref="C3:C4"/>
    <mergeCell ref="A18:A20"/>
    <mergeCell ref="B18:B20"/>
    <mergeCell ref="I18:I20"/>
    <mergeCell ref="A22:A28"/>
    <mergeCell ref="B22:B28"/>
    <mergeCell ref="I22:I28"/>
    <mergeCell ref="B74:B76"/>
    <mergeCell ref="I74:I76"/>
    <mergeCell ref="A29:A31"/>
    <mergeCell ref="B29:B31"/>
    <mergeCell ref="I29:I31"/>
    <mergeCell ref="A41:A46"/>
    <mergeCell ref="B41:B46"/>
    <mergeCell ref="I41:I46"/>
  </mergeCells>
  <pageMargins left="0.75" right="0.75" top="1" bottom="1" header="0.5" footer="0.5"/>
  <pageSetup paperSize="9" orientation="portrait" horizontalDpi="4294967292" verticalDpi="4294967292"/>
  <ignoredErrors>
    <ignoredError sqref="I37 I16 I49 L34:M34"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Bonus web</vt:lpstr>
    </vt:vector>
  </TitlesOfParts>
  <Company>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Microsoft</dc:creator>
  <cp:lastModifiedBy>Yves-Noël</cp:lastModifiedBy>
  <cp:lastPrinted>2014-12-23T14:20:16Z</cp:lastPrinted>
  <dcterms:created xsi:type="dcterms:W3CDTF">2014-12-18T13:25:24Z</dcterms:created>
  <dcterms:modified xsi:type="dcterms:W3CDTF">2016-02-08T13:16:24Z</dcterms:modified>
</cp:coreProperties>
</file>